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comments4.xml" ContentType="application/vnd.openxmlformats-officedocument.spreadsheetml.comments+xml"/>
  <Override PartName="/xl/tables/table2.xml" ContentType="application/vnd.openxmlformats-officedocument.spreadsheetml.table+xml"/>
  <Override PartName="/xl/comments5.xml" ContentType="application/vnd.openxmlformats-officedocument.spreadsheetml.comments+xml"/>
  <Override PartName="/xl/tables/table3.xml" ContentType="application/vnd.openxmlformats-officedocument.spreadsheetml.table+xml"/>
  <Override PartName="/xl/comments6.xml" ContentType="application/vnd.openxmlformats-officedocument.spreadsheetml.comments+xml"/>
  <Override PartName="/xl/tables/table4.xml" ContentType="application/vnd.openxmlformats-officedocument.spreadsheetml.table+xml"/>
  <Override PartName="/xl/comments7.xml" ContentType="application/vnd.openxmlformats-officedocument.spreadsheetml.comments+xml"/>
  <Override PartName="/xl/tables/table5.xml" ContentType="application/vnd.openxmlformats-officedocument.spreadsheetml.table+xml"/>
  <Override PartName="/xl/comments8.xml" ContentType="application/vnd.openxmlformats-officedocument.spreadsheetml.comments+xml"/>
  <Override PartName="/xl/tables/table6.xml" ContentType="application/vnd.openxmlformats-officedocument.spreadsheetml.table+xml"/>
  <Override PartName="/xl/comments9.xml" ContentType="application/vnd.openxmlformats-officedocument.spreadsheetml.comments+xml"/>
  <Override PartName="/xl/tables/table7.xml" ContentType="application/vnd.openxmlformats-officedocument.spreadsheetml.table+xml"/>
  <Override PartName="/xl/comments10.xml" ContentType="application/vnd.openxmlformats-officedocument.spreadsheetml.comments+xml"/>
  <Override PartName="/xl/tables/table8.xml" ContentType="application/vnd.openxmlformats-officedocument.spreadsheetml.tab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BKA\Sektion_II\II_3\3_NATIONAL\5_MUSTER+VORLAGEN\3_Berichtsvorlagen\Vorlagen für NAT 2022 und 2023\"/>
    </mc:Choice>
  </mc:AlternateContent>
  <bookViews>
    <workbookView xWindow="-110" yWindow="-110" windowWidth="28910" windowHeight="11810" tabRatio="780" activeTab="1"/>
  </bookViews>
  <sheets>
    <sheet name="Eingabe" sheetId="18" r:id="rId1"/>
    <sheet name="Overview" sheetId="5" r:id="rId2"/>
    <sheet name="Projekteinnahmen" sheetId="6" r:id="rId3"/>
    <sheet name="a.1) Angestellte" sheetId="7" r:id="rId4"/>
    <sheet name="a.2) Freie DN" sheetId="19" r:id="rId5"/>
    <sheet name="b) Reisekosten" sheetId="20" r:id="rId6"/>
    <sheet name="c.1) Immobilien" sheetId="22" r:id="rId7"/>
    <sheet name="c.2) Sonstige" sheetId="23" r:id="rId8"/>
    <sheet name="c.3) Anlagegüter" sheetId="25" r:id="rId9"/>
    <sheet name="c.4) Unteraufträge" sheetId="26" r:id="rId10"/>
    <sheet name="d) Indirekte" sheetId="27" r:id="rId11"/>
  </sheets>
  <externalReferences>
    <externalReference r:id="rId12"/>
    <externalReference r:id="rId13"/>
  </externalReferences>
  <definedNames>
    <definedName name="a" localSheetId="8">#REF!</definedName>
    <definedName name="a" localSheetId="9">#REF!</definedName>
    <definedName name="a" localSheetId="10">#REF!</definedName>
    <definedName name="a">#REF!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b" localSheetId="9">#REF!</definedName>
    <definedName name="b" localSheetId="10">#REF!</definedName>
    <definedName name="b">#REF!</definedName>
    <definedName name="d" localSheetId="10">#REF!</definedName>
    <definedName name="d">#REF!</definedName>
    <definedName name="_xlnm.Print_Area" localSheetId="3">'a.1) Angestellte'!$B$2:$AF$32</definedName>
    <definedName name="_xlnm.Print_Area" localSheetId="4">'a.2) Freie DN'!$B$2:$AF$32</definedName>
    <definedName name="_xlnm.Print_Area" localSheetId="5">'b) Reisekosten'!$B$2:$W$32</definedName>
    <definedName name="_xlnm.Print_Area" localSheetId="6">'c.1) Immobilien'!$B$2:$W$32</definedName>
    <definedName name="_xlnm.Print_Area" localSheetId="7">'c.2) Sonstige'!$B$2:$W$32</definedName>
    <definedName name="_xlnm.Print_Area" localSheetId="8">'c.3) Anlagegüter'!$B$2:$AA$32</definedName>
    <definedName name="_xlnm.Print_Area" localSheetId="9">'c.4) Unteraufträge'!$B$2:$W$32</definedName>
    <definedName name="_xlnm.Print_Area" localSheetId="10">'d) Indirekte'!$B$2:$W$32</definedName>
    <definedName name="_xlnm.Print_Area" localSheetId="0">Eingabe!$B$2:$R$39</definedName>
    <definedName name="_xlnm.Print_Area" localSheetId="1">Overview!$B$2:$W$36,Overview!$B$38:$Q$178</definedName>
    <definedName name="_xlnm.Print_Area" localSheetId="2">Projekteinnahmen!$B$2:$L$47</definedName>
    <definedName name="e" localSheetId="10">#REF!</definedName>
    <definedName name="e">#REF!</definedName>
    <definedName name="f">#REF!</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g">#REF!</definedName>
    <definedName name="h">#REF!</definedName>
    <definedName name="Handlungsfeld">'[2]Angaben zum Projekt'!$D$6</definedName>
    <definedName name="Maßnahmenbereich" localSheetId="7">#REF!</definedName>
    <definedName name="Maßnahmenbereich" localSheetId="8">#REF!</definedName>
    <definedName name="Maßnahmenbereich" localSheetId="9">#REF!</definedName>
    <definedName name="Maßnahmenbereich" localSheetId="10">#REF!</definedName>
    <definedName name="Maßnahmenbereich" localSheetId="1">#REF!</definedName>
    <definedName name="Maßnahmenbereich">#REF!</definedName>
    <definedName name="Version_Dok">[1]Version!$B$1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6" i="5" l="1"/>
  <c r="J166" i="5"/>
  <c r="I166" i="5"/>
  <c r="H166" i="5"/>
  <c r="K152" i="5"/>
  <c r="J152" i="5"/>
  <c r="I152" i="5"/>
  <c r="H152" i="5"/>
  <c r="K138" i="5"/>
  <c r="J138" i="5"/>
  <c r="I138" i="5"/>
  <c r="H138" i="5"/>
  <c r="K124" i="5"/>
  <c r="J124" i="5"/>
  <c r="I124" i="5"/>
  <c r="H124" i="5"/>
  <c r="K110" i="5"/>
  <c r="J110" i="5"/>
  <c r="I110" i="5"/>
  <c r="H110" i="5"/>
  <c r="K96" i="5"/>
  <c r="J96" i="5"/>
  <c r="I96" i="5"/>
  <c r="H96" i="5"/>
  <c r="K82" i="5"/>
  <c r="J82" i="5"/>
  <c r="I82" i="5"/>
  <c r="H82" i="5"/>
  <c r="K68" i="5"/>
  <c r="J68" i="5"/>
  <c r="I68" i="5"/>
  <c r="H68" i="5"/>
  <c r="K54" i="5"/>
  <c r="J54" i="5"/>
  <c r="I54" i="5"/>
  <c r="H54" i="5"/>
  <c r="I40" i="5"/>
  <c r="J40" i="5"/>
  <c r="K40" i="5"/>
  <c r="H40" i="5"/>
  <c r="O16" i="22" l="1"/>
  <c r="O15" i="22"/>
  <c r="U24" i="5" l="1"/>
  <c r="U25" i="5"/>
  <c r="U23" i="5"/>
  <c r="S20" i="5"/>
  <c r="P167" i="5" l="1"/>
  <c r="O167" i="5"/>
  <c r="P166" i="5"/>
  <c r="O166" i="5"/>
  <c r="P153" i="5"/>
  <c r="O153" i="5"/>
  <c r="P152" i="5"/>
  <c r="O152" i="5"/>
  <c r="P139" i="5"/>
  <c r="O139" i="5"/>
  <c r="P138" i="5"/>
  <c r="O138" i="5"/>
  <c r="P125" i="5"/>
  <c r="O125" i="5"/>
  <c r="P124" i="5"/>
  <c r="O124" i="5"/>
  <c r="P111" i="5"/>
  <c r="O111" i="5"/>
  <c r="P110" i="5"/>
  <c r="O110" i="5"/>
  <c r="P97" i="5"/>
  <c r="O97" i="5"/>
  <c r="P96" i="5"/>
  <c r="O96" i="5"/>
  <c r="P83" i="5"/>
  <c r="O83" i="5"/>
  <c r="P82" i="5"/>
  <c r="O82" i="5"/>
  <c r="P69" i="5"/>
  <c r="O69" i="5"/>
  <c r="P68" i="5"/>
  <c r="O68" i="5"/>
  <c r="P55" i="5"/>
  <c r="O55" i="5"/>
  <c r="P54" i="5"/>
  <c r="O54" i="5"/>
  <c r="P41" i="5"/>
  <c r="P40" i="5"/>
  <c r="O41" i="5"/>
  <c r="O40" i="5"/>
  <c r="W21" i="7"/>
  <c r="W31" i="19" l="1"/>
  <c r="X31" i="19" l="1"/>
  <c r="C14" i="22" l="1"/>
  <c r="V14" i="22" s="1"/>
  <c r="O14" i="22"/>
  <c r="C15" i="22"/>
  <c r="V15" i="22" s="1"/>
  <c r="C16" i="22"/>
  <c r="V16" i="22" s="1"/>
  <c r="C17" i="22"/>
  <c r="V17" i="22" s="1"/>
  <c r="O17" i="22"/>
  <c r="L18" i="22"/>
  <c r="N18" i="22"/>
  <c r="I21" i="22"/>
  <c r="J21" i="22"/>
  <c r="K21" i="22"/>
  <c r="L21" i="22"/>
  <c r="M21" i="22"/>
  <c r="N21" i="22"/>
  <c r="O21" i="22"/>
  <c r="P21" i="22"/>
  <c r="I22" i="22"/>
  <c r="J22" i="22"/>
  <c r="K22" i="22"/>
  <c r="L22" i="22"/>
  <c r="M22" i="22"/>
  <c r="N22" i="22"/>
  <c r="P22" i="22"/>
  <c r="J10" i="18"/>
  <c r="P31" i="27"/>
  <c r="P30" i="27"/>
  <c r="O30" i="27"/>
  <c r="P29" i="27"/>
  <c r="O29" i="27"/>
  <c r="P28" i="27"/>
  <c r="O28" i="27"/>
  <c r="P27" i="27"/>
  <c r="O27" i="27"/>
  <c r="P26" i="27"/>
  <c r="O26" i="27"/>
  <c r="P25" i="27"/>
  <c r="O25" i="27"/>
  <c r="P24" i="27"/>
  <c r="O24" i="27"/>
  <c r="P23" i="27"/>
  <c r="O23" i="27"/>
  <c r="P22" i="27"/>
  <c r="O22" i="27"/>
  <c r="P21" i="27"/>
  <c r="O21" i="27"/>
  <c r="N21" i="27"/>
  <c r="P31" i="23" l="1"/>
  <c r="P30" i="23"/>
  <c r="O30" i="23"/>
  <c r="P29" i="23"/>
  <c r="O29" i="23"/>
  <c r="P28" i="23"/>
  <c r="O28" i="23"/>
  <c r="P27" i="23"/>
  <c r="O27" i="23"/>
  <c r="P26" i="23"/>
  <c r="O26" i="23"/>
  <c r="P25" i="23"/>
  <c r="O25" i="23"/>
  <c r="P24" i="23"/>
  <c r="O24" i="23"/>
  <c r="P23" i="23"/>
  <c r="O23" i="23"/>
  <c r="P22" i="23"/>
  <c r="O22" i="23"/>
  <c r="P21" i="23"/>
  <c r="X21" i="7"/>
  <c r="AB24" i="5" l="1"/>
  <c r="AB23" i="5"/>
  <c r="O17" i="27"/>
  <c r="O16" i="27"/>
  <c r="O15" i="27"/>
  <c r="O14" i="27"/>
  <c r="O13" i="27"/>
  <c r="O12" i="27"/>
  <c r="O11" i="27"/>
  <c r="O10" i="27"/>
  <c r="O9" i="27"/>
  <c r="O8" i="27"/>
  <c r="P31" i="26"/>
  <c r="P30" i="26"/>
  <c r="O30" i="26"/>
  <c r="P29" i="26"/>
  <c r="O29" i="26"/>
  <c r="P28" i="26"/>
  <c r="O28" i="26"/>
  <c r="P27" i="26"/>
  <c r="O27" i="26"/>
  <c r="P26" i="26"/>
  <c r="O26" i="26"/>
  <c r="P25" i="26"/>
  <c r="O25" i="26"/>
  <c r="P24" i="26"/>
  <c r="O24" i="26"/>
  <c r="P23" i="26"/>
  <c r="O23" i="26"/>
  <c r="P22" i="26"/>
  <c r="O22" i="26"/>
  <c r="P21" i="26"/>
  <c r="O17" i="26"/>
  <c r="O16" i="26"/>
  <c r="O15" i="26"/>
  <c r="O14" i="26"/>
  <c r="O13" i="26"/>
  <c r="O12" i="26"/>
  <c r="O11" i="26"/>
  <c r="O10" i="26"/>
  <c r="O9" i="26"/>
  <c r="O8" i="26"/>
  <c r="O21" i="26" s="1"/>
  <c r="S31" i="25"/>
  <c r="S30" i="25"/>
  <c r="R30" i="25"/>
  <c r="S29" i="25"/>
  <c r="R29" i="25"/>
  <c r="S28" i="25"/>
  <c r="R28" i="25"/>
  <c r="S27" i="25"/>
  <c r="R27" i="25"/>
  <c r="S26" i="25"/>
  <c r="R26" i="25"/>
  <c r="S25" i="25"/>
  <c r="R25" i="25"/>
  <c r="S24" i="25"/>
  <c r="R24" i="25"/>
  <c r="S23" i="25"/>
  <c r="R23" i="25"/>
  <c r="S22" i="25"/>
  <c r="R22" i="25"/>
  <c r="S21" i="25"/>
  <c r="O17" i="23"/>
  <c r="O16" i="23"/>
  <c r="O15" i="23"/>
  <c r="O14" i="23"/>
  <c r="O13" i="23"/>
  <c r="O12" i="23"/>
  <c r="O11" i="23"/>
  <c r="O10" i="23"/>
  <c r="O9" i="23"/>
  <c r="O8" i="23"/>
  <c r="P31" i="22"/>
  <c r="P30" i="22"/>
  <c r="O30" i="22"/>
  <c r="P29" i="22"/>
  <c r="O29" i="22"/>
  <c r="P28" i="22"/>
  <c r="O28" i="22"/>
  <c r="P27" i="22"/>
  <c r="O27" i="22"/>
  <c r="P26" i="22"/>
  <c r="O26" i="22"/>
  <c r="P25" i="22"/>
  <c r="O25" i="22"/>
  <c r="P24" i="22"/>
  <c r="O24" i="22"/>
  <c r="P23" i="22"/>
  <c r="O23" i="22"/>
  <c r="O13" i="22"/>
  <c r="O12" i="22"/>
  <c r="O11" i="22"/>
  <c r="O10" i="22"/>
  <c r="O9" i="22"/>
  <c r="O8" i="22"/>
  <c r="O22" i="22" s="1"/>
  <c r="P31" i="20"/>
  <c r="P30" i="20"/>
  <c r="O30" i="20"/>
  <c r="P29" i="20"/>
  <c r="P28" i="20"/>
  <c r="P27" i="20"/>
  <c r="P26" i="20"/>
  <c r="O26" i="20"/>
  <c r="P25" i="20"/>
  <c r="O25" i="20"/>
  <c r="P24" i="20"/>
  <c r="O24" i="20"/>
  <c r="P23" i="20"/>
  <c r="O23" i="20"/>
  <c r="P22" i="20"/>
  <c r="O22" i="20"/>
  <c r="P21" i="20"/>
  <c r="O9" i="20"/>
  <c r="O10" i="20"/>
  <c r="O11" i="20"/>
  <c r="O12" i="20"/>
  <c r="O29" i="20" s="1"/>
  <c r="O13" i="20"/>
  <c r="O14" i="20"/>
  <c r="O15" i="20"/>
  <c r="O16" i="20"/>
  <c r="O17" i="20"/>
  <c r="O8" i="20"/>
  <c r="O21" i="20" s="1"/>
  <c r="O31" i="27" l="1"/>
  <c r="O31" i="22"/>
  <c r="O31" i="23"/>
  <c r="O21" i="23"/>
  <c r="O28" i="20"/>
  <c r="O27" i="20"/>
  <c r="O31" i="26"/>
  <c r="O31" i="20"/>
  <c r="C13" i="7"/>
  <c r="AE13" i="7" s="1"/>
  <c r="C14" i="7"/>
  <c r="AE14" i="7" s="1"/>
  <c r="C15" i="7"/>
  <c r="AE15" i="7" s="1"/>
  <c r="C16" i="7"/>
  <c r="AE16" i="7" s="1"/>
  <c r="R13" i="7"/>
  <c r="R14" i="7"/>
  <c r="R15" i="7"/>
  <c r="R16" i="7"/>
  <c r="S13" i="7"/>
  <c r="S14" i="7"/>
  <c r="S15" i="7"/>
  <c r="S16" i="7"/>
  <c r="T13" i="7"/>
  <c r="T14" i="7"/>
  <c r="T15" i="7"/>
  <c r="T16" i="7"/>
  <c r="U13" i="7"/>
  <c r="U14" i="7"/>
  <c r="U15" i="7"/>
  <c r="U16" i="7"/>
  <c r="P173" i="5"/>
  <c r="P159" i="5"/>
  <c r="P145" i="5"/>
  <c r="P131" i="5"/>
  <c r="P117" i="5"/>
  <c r="P103" i="5"/>
  <c r="P89" i="5"/>
  <c r="P75" i="5"/>
  <c r="P61" i="5"/>
  <c r="M22" i="25"/>
  <c r="N22" i="25"/>
  <c r="O22" i="25"/>
  <c r="P22" i="25"/>
  <c r="M23" i="25"/>
  <c r="N23" i="25"/>
  <c r="O23" i="25"/>
  <c r="P23" i="25"/>
  <c r="M24" i="25"/>
  <c r="N24" i="25"/>
  <c r="O24" i="25"/>
  <c r="P24" i="25"/>
  <c r="M25" i="25"/>
  <c r="N25" i="25"/>
  <c r="O25" i="25"/>
  <c r="P25" i="25"/>
  <c r="M26" i="25"/>
  <c r="N26" i="25"/>
  <c r="O26" i="25"/>
  <c r="P26" i="25"/>
  <c r="M27" i="25"/>
  <c r="N27" i="25"/>
  <c r="O27" i="25"/>
  <c r="P27" i="25"/>
  <c r="M28" i="25"/>
  <c r="N28" i="25"/>
  <c r="O28" i="25"/>
  <c r="P28" i="25"/>
  <c r="M29" i="25"/>
  <c r="N29" i="25"/>
  <c r="O29" i="25"/>
  <c r="P29" i="25"/>
  <c r="M30" i="25"/>
  <c r="N30" i="25"/>
  <c r="O30" i="25"/>
  <c r="P30" i="25"/>
  <c r="P21" i="25"/>
  <c r="O21" i="25"/>
  <c r="N21" i="25"/>
  <c r="M21" i="25"/>
  <c r="Q9" i="25"/>
  <c r="S9" i="25" s="1"/>
  <c r="Q10" i="25"/>
  <c r="S10" i="25" s="1"/>
  <c r="Q11" i="25"/>
  <c r="S11" i="25" s="1"/>
  <c r="Q12" i="25"/>
  <c r="S12" i="25" s="1"/>
  <c r="Q13" i="25"/>
  <c r="S13" i="25" s="1"/>
  <c r="Q14" i="25"/>
  <c r="S14" i="25" s="1"/>
  <c r="Q15" i="25"/>
  <c r="S15" i="25" s="1"/>
  <c r="Q16" i="25"/>
  <c r="S16" i="25" s="1"/>
  <c r="Q17" i="25"/>
  <c r="S17" i="25" s="1"/>
  <c r="Q8" i="25"/>
  <c r="S8" i="25" s="1"/>
  <c r="R21" i="25" s="1"/>
  <c r="R31" i="25" l="1"/>
  <c r="V15" i="7"/>
  <c r="X15" i="7" s="1"/>
  <c r="V13" i="7"/>
  <c r="X13" i="7" s="1"/>
  <c r="V16" i="7"/>
  <c r="X16" i="7" s="1"/>
  <c r="V14" i="7"/>
  <c r="X14" i="7" s="1"/>
  <c r="P176" i="5"/>
  <c r="O176" i="5"/>
  <c r="P162" i="5"/>
  <c r="O162" i="5"/>
  <c r="P148" i="5"/>
  <c r="O148" i="5"/>
  <c r="P134" i="5"/>
  <c r="O134" i="5"/>
  <c r="P120" i="5"/>
  <c r="O120" i="5"/>
  <c r="P106" i="5"/>
  <c r="O106" i="5"/>
  <c r="P92" i="5"/>
  <c r="O92" i="5"/>
  <c r="P78" i="5"/>
  <c r="O78" i="5"/>
  <c r="P64" i="5"/>
  <c r="O64" i="5"/>
  <c r="P50" i="5"/>
  <c r="O50" i="5"/>
  <c r="P175" i="5"/>
  <c r="O175" i="5"/>
  <c r="P161" i="5"/>
  <c r="O161" i="5"/>
  <c r="P147" i="5"/>
  <c r="O147" i="5"/>
  <c r="P133" i="5"/>
  <c r="O133" i="5"/>
  <c r="P119" i="5"/>
  <c r="O119" i="5"/>
  <c r="P105" i="5"/>
  <c r="O105" i="5"/>
  <c r="P91" i="5"/>
  <c r="O91" i="5"/>
  <c r="P77" i="5"/>
  <c r="O77" i="5"/>
  <c r="P63" i="5"/>
  <c r="O63" i="5"/>
  <c r="P49" i="5"/>
  <c r="O49" i="5"/>
  <c r="P174" i="5"/>
  <c r="O174" i="5"/>
  <c r="P160" i="5"/>
  <c r="O160" i="5"/>
  <c r="P146" i="5"/>
  <c r="O146" i="5"/>
  <c r="P132" i="5"/>
  <c r="O132" i="5"/>
  <c r="P118" i="5"/>
  <c r="O118" i="5"/>
  <c r="P104" i="5"/>
  <c r="O104" i="5"/>
  <c r="P90" i="5"/>
  <c r="O90" i="5"/>
  <c r="P76" i="5"/>
  <c r="O76" i="5"/>
  <c r="P62" i="5"/>
  <c r="O62" i="5"/>
  <c r="P48" i="5"/>
  <c r="O48" i="5"/>
  <c r="O173" i="5"/>
  <c r="O159" i="5"/>
  <c r="O145" i="5"/>
  <c r="O131" i="5"/>
  <c r="O117" i="5"/>
  <c r="O103" i="5"/>
  <c r="O89" i="5"/>
  <c r="O75" i="5"/>
  <c r="O61" i="5"/>
  <c r="P47" i="5"/>
  <c r="O47" i="5"/>
  <c r="P172" i="5"/>
  <c r="O172" i="5"/>
  <c r="P158" i="5"/>
  <c r="O158" i="5"/>
  <c r="P144" i="5"/>
  <c r="O144" i="5"/>
  <c r="P130" i="5"/>
  <c r="O130" i="5"/>
  <c r="P116" i="5"/>
  <c r="O116" i="5"/>
  <c r="P102" i="5"/>
  <c r="O102" i="5"/>
  <c r="P88" i="5"/>
  <c r="O88" i="5"/>
  <c r="P74" i="5"/>
  <c r="O74" i="5"/>
  <c r="P60" i="5"/>
  <c r="O60" i="5"/>
  <c r="P46" i="5"/>
  <c r="O46" i="5"/>
  <c r="P170" i="5"/>
  <c r="P156" i="5"/>
  <c r="P142" i="5"/>
  <c r="P128" i="5"/>
  <c r="P114" i="5"/>
  <c r="P100" i="5"/>
  <c r="P86" i="5"/>
  <c r="P72" i="5"/>
  <c r="P58" i="5"/>
  <c r="P44" i="5"/>
  <c r="O170" i="5"/>
  <c r="O156" i="5"/>
  <c r="O142" i="5"/>
  <c r="O128" i="5"/>
  <c r="O114" i="5"/>
  <c r="O100" i="5"/>
  <c r="O86" i="5"/>
  <c r="O72" i="5"/>
  <c r="O58" i="5"/>
  <c r="O44" i="5"/>
  <c r="X30" i="19"/>
  <c r="P169" i="5" s="1"/>
  <c r="W30" i="19"/>
  <c r="O169" i="5" s="1"/>
  <c r="X29" i="19"/>
  <c r="P155" i="5" s="1"/>
  <c r="W29" i="19"/>
  <c r="O155" i="5" s="1"/>
  <c r="X28" i="19"/>
  <c r="P141" i="5" s="1"/>
  <c r="W28" i="19"/>
  <c r="O141" i="5" s="1"/>
  <c r="X27" i="19"/>
  <c r="P127" i="5" s="1"/>
  <c r="W27" i="19"/>
  <c r="O127" i="5" s="1"/>
  <c r="X26" i="19"/>
  <c r="P113" i="5" s="1"/>
  <c r="W26" i="19"/>
  <c r="O113" i="5" s="1"/>
  <c r="X25" i="19"/>
  <c r="P99" i="5" s="1"/>
  <c r="W25" i="19"/>
  <c r="O99" i="5" s="1"/>
  <c r="X24" i="19"/>
  <c r="P85" i="5" s="1"/>
  <c r="W24" i="19"/>
  <c r="O85" i="5" s="1"/>
  <c r="X23" i="19"/>
  <c r="P71" i="5" s="1"/>
  <c r="W23" i="19"/>
  <c r="O71" i="5" s="1"/>
  <c r="X22" i="19"/>
  <c r="P57" i="5" s="1"/>
  <c r="X21" i="19"/>
  <c r="P43" i="5" s="1"/>
  <c r="V23" i="19"/>
  <c r="V24" i="19"/>
  <c r="V25" i="19"/>
  <c r="V26" i="19"/>
  <c r="V27" i="19"/>
  <c r="V28" i="19"/>
  <c r="V29" i="19"/>
  <c r="V30" i="19"/>
  <c r="R23" i="19"/>
  <c r="H71" i="5" s="1"/>
  <c r="S23" i="19"/>
  <c r="I71" i="5" s="1"/>
  <c r="T23" i="19"/>
  <c r="J71" i="5" s="1"/>
  <c r="U23" i="19"/>
  <c r="K71" i="5" s="1"/>
  <c r="R24" i="19"/>
  <c r="H85" i="5" s="1"/>
  <c r="S24" i="19"/>
  <c r="I85" i="5" s="1"/>
  <c r="T24" i="19"/>
  <c r="J85" i="5" s="1"/>
  <c r="U24" i="19"/>
  <c r="K85" i="5" s="1"/>
  <c r="R25" i="19"/>
  <c r="H99" i="5" s="1"/>
  <c r="S25" i="19"/>
  <c r="I99" i="5" s="1"/>
  <c r="T25" i="19"/>
  <c r="J99" i="5" s="1"/>
  <c r="U25" i="19"/>
  <c r="K99" i="5" s="1"/>
  <c r="R26" i="19"/>
  <c r="H113" i="5" s="1"/>
  <c r="S26" i="19"/>
  <c r="I113" i="5" s="1"/>
  <c r="T26" i="19"/>
  <c r="J113" i="5" s="1"/>
  <c r="U26" i="19"/>
  <c r="K113" i="5" s="1"/>
  <c r="R27" i="19"/>
  <c r="H127" i="5" s="1"/>
  <c r="S27" i="19"/>
  <c r="I127" i="5" s="1"/>
  <c r="T27" i="19"/>
  <c r="J127" i="5" s="1"/>
  <c r="U27" i="19"/>
  <c r="K127" i="5" s="1"/>
  <c r="R28" i="19"/>
  <c r="H141" i="5" s="1"/>
  <c r="S28" i="19"/>
  <c r="I141" i="5" s="1"/>
  <c r="T28" i="19"/>
  <c r="J141" i="5" s="1"/>
  <c r="U28" i="19"/>
  <c r="K141" i="5" s="1"/>
  <c r="R29" i="19"/>
  <c r="H155" i="5" s="1"/>
  <c r="S29" i="19"/>
  <c r="I155" i="5" s="1"/>
  <c r="T29" i="19"/>
  <c r="J155" i="5" s="1"/>
  <c r="U29" i="19"/>
  <c r="K155" i="5" s="1"/>
  <c r="R30" i="19"/>
  <c r="H169" i="5" s="1"/>
  <c r="S30" i="19"/>
  <c r="I169" i="5" s="1"/>
  <c r="T30" i="19"/>
  <c r="J169" i="5" s="1"/>
  <c r="U30" i="19"/>
  <c r="K169" i="5" s="1"/>
  <c r="R12" i="19"/>
  <c r="R9" i="19"/>
  <c r="S9" i="19"/>
  <c r="S22" i="19" s="1"/>
  <c r="I57" i="5" s="1"/>
  <c r="T9" i="19"/>
  <c r="T22" i="19" s="1"/>
  <c r="J57" i="5" s="1"/>
  <c r="U9" i="19"/>
  <c r="U22" i="19" s="1"/>
  <c r="K57" i="5" s="1"/>
  <c r="R10" i="19"/>
  <c r="S10" i="19"/>
  <c r="T10" i="19"/>
  <c r="U10" i="19"/>
  <c r="R11" i="19"/>
  <c r="S11" i="19"/>
  <c r="T11" i="19"/>
  <c r="U11" i="19"/>
  <c r="S12" i="19"/>
  <c r="T12" i="19"/>
  <c r="U12" i="19"/>
  <c r="R13" i="19"/>
  <c r="S13" i="19"/>
  <c r="T13" i="19"/>
  <c r="U13" i="19"/>
  <c r="R14" i="19"/>
  <c r="S14" i="19"/>
  <c r="T14" i="19"/>
  <c r="U14" i="19"/>
  <c r="R15" i="19"/>
  <c r="S15" i="19"/>
  <c r="T15" i="19"/>
  <c r="U15" i="19"/>
  <c r="R16" i="19"/>
  <c r="S16" i="19"/>
  <c r="T16" i="19"/>
  <c r="U16" i="19"/>
  <c r="R17" i="19"/>
  <c r="S17" i="19"/>
  <c r="T17" i="19"/>
  <c r="U17" i="19"/>
  <c r="S8" i="19"/>
  <c r="S21" i="19" s="1"/>
  <c r="I43" i="5" s="1"/>
  <c r="T8" i="19"/>
  <c r="T21" i="19" s="1"/>
  <c r="J43" i="5" s="1"/>
  <c r="U8" i="19"/>
  <c r="U21" i="19" s="1"/>
  <c r="K43" i="5" s="1"/>
  <c r="R8" i="19"/>
  <c r="R8" i="7"/>
  <c r="R9" i="7"/>
  <c r="S9" i="7"/>
  <c r="T9" i="7"/>
  <c r="U9" i="7"/>
  <c r="R10" i="7"/>
  <c r="R23" i="7" s="1"/>
  <c r="S10" i="7"/>
  <c r="S23" i="7" s="1"/>
  <c r="T10" i="7"/>
  <c r="T23" i="7" s="1"/>
  <c r="U10" i="7"/>
  <c r="U23" i="7" s="1"/>
  <c r="R11" i="7"/>
  <c r="R24" i="7" s="1"/>
  <c r="S11" i="7"/>
  <c r="S24" i="7" s="1"/>
  <c r="T11" i="7"/>
  <c r="U11" i="7"/>
  <c r="U24" i="7" s="1"/>
  <c r="R12" i="7"/>
  <c r="S12" i="7"/>
  <c r="S25" i="7" s="1"/>
  <c r="T12" i="7"/>
  <c r="T25" i="7" s="1"/>
  <c r="U12" i="7"/>
  <c r="U25" i="7" s="1"/>
  <c r="R26" i="7"/>
  <c r="S26" i="7"/>
  <c r="T26" i="7"/>
  <c r="U26" i="7"/>
  <c r="R27" i="7"/>
  <c r="S27" i="7"/>
  <c r="T27" i="7"/>
  <c r="U27" i="7"/>
  <c r="R28" i="7"/>
  <c r="S28" i="7"/>
  <c r="T28" i="7"/>
  <c r="U28" i="7"/>
  <c r="S29" i="7"/>
  <c r="T29" i="7"/>
  <c r="U29" i="7"/>
  <c r="R17" i="7"/>
  <c r="S17" i="7"/>
  <c r="T17" i="7"/>
  <c r="U17" i="7"/>
  <c r="S8" i="7"/>
  <c r="T8" i="7"/>
  <c r="U8" i="7"/>
  <c r="O30" i="19"/>
  <c r="O29" i="19"/>
  <c r="O28" i="19"/>
  <c r="O27" i="19"/>
  <c r="O26" i="19"/>
  <c r="O25" i="19"/>
  <c r="O24" i="19"/>
  <c r="O23" i="19"/>
  <c r="O22" i="19"/>
  <c r="O21" i="19"/>
  <c r="X31" i="7"/>
  <c r="X30" i="7"/>
  <c r="P168" i="5" s="1"/>
  <c r="W30" i="7"/>
  <c r="O168" i="5" s="1"/>
  <c r="X29" i="7"/>
  <c r="P154" i="5" s="1"/>
  <c r="X28" i="7"/>
  <c r="P140" i="5" s="1"/>
  <c r="X27" i="7"/>
  <c r="P126" i="5" s="1"/>
  <c r="X26" i="7"/>
  <c r="P112" i="5" s="1"/>
  <c r="X25" i="7"/>
  <c r="P98" i="5" s="1"/>
  <c r="X24" i="7"/>
  <c r="P84" i="5" s="1"/>
  <c r="X23" i="7"/>
  <c r="P70" i="5" s="1"/>
  <c r="X22" i="7"/>
  <c r="P56" i="5" s="1"/>
  <c r="P42" i="5"/>
  <c r="T24" i="7"/>
  <c r="R25" i="7"/>
  <c r="R29" i="7"/>
  <c r="R30" i="7"/>
  <c r="S30" i="7"/>
  <c r="T30" i="7"/>
  <c r="U30" i="7"/>
  <c r="V10" i="19" l="1"/>
  <c r="V16" i="19"/>
  <c r="V11" i="19"/>
  <c r="V9" i="19"/>
  <c r="V17" i="19"/>
  <c r="V15" i="19"/>
  <c r="V13" i="19"/>
  <c r="V12" i="19"/>
  <c r="V14" i="19"/>
  <c r="V8" i="19"/>
  <c r="R22" i="19"/>
  <c r="H57" i="5" s="1"/>
  <c r="R21" i="19"/>
  <c r="H43" i="5" s="1"/>
  <c r="V9" i="7"/>
  <c r="R22" i="7"/>
  <c r="U22" i="7"/>
  <c r="T22" i="7"/>
  <c r="S22" i="7"/>
  <c r="X13" i="19"/>
  <c r="O59" i="5"/>
  <c r="O171" i="5"/>
  <c r="P59" i="5"/>
  <c r="P171" i="5"/>
  <c r="O129" i="5"/>
  <c r="P129" i="5"/>
  <c r="O157" i="5"/>
  <c r="O115" i="5"/>
  <c r="O143" i="5"/>
  <c r="P87" i="5"/>
  <c r="P73" i="5"/>
  <c r="P101" i="5"/>
  <c r="P115" i="5"/>
  <c r="P143" i="5"/>
  <c r="P157" i="5"/>
  <c r="O87" i="5"/>
  <c r="O101" i="5"/>
  <c r="X15" i="19"/>
  <c r="O73" i="5"/>
  <c r="X10" i="19"/>
  <c r="X16" i="19"/>
  <c r="X14" i="19"/>
  <c r="X17" i="19"/>
  <c r="X11" i="19"/>
  <c r="X12" i="19"/>
  <c r="X9" i="19"/>
  <c r="X8" i="19"/>
  <c r="S31" i="19"/>
  <c r="I20" i="5" s="1"/>
  <c r="T31" i="19"/>
  <c r="J20" i="5" s="1"/>
  <c r="U31" i="19"/>
  <c r="K20" i="5" s="1"/>
  <c r="W26" i="7"/>
  <c r="O112" i="5" s="1"/>
  <c r="W28" i="7"/>
  <c r="O140" i="5" s="1"/>
  <c r="V17" i="7"/>
  <c r="X17" i="7" s="1"/>
  <c r="V11" i="7"/>
  <c r="T21" i="7"/>
  <c r="U21" i="7"/>
  <c r="R21" i="7"/>
  <c r="R31" i="19" l="1"/>
  <c r="H20" i="5" s="1"/>
  <c r="T31" i="7"/>
  <c r="R31" i="7"/>
  <c r="U31" i="7"/>
  <c r="W24" i="7"/>
  <c r="O84" i="5" s="1"/>
  <c r="O93" i="5" s="1"/>
  <c r="X11" i="7"/>
  <c r="W22" i="7"/>
  <c r="O56" i="5" s="1"/>
  <c r="X9" i="7"/>
  <c r="O149" i="5"/>
  <c r="O177" i="5"/>
  <c r="O121" i="5"/>
  <c r="V22" i="19"/>
  <c r="V21" i="19"/>
  <c r="V12" i="7"/>
  <c r="S21" i="7"/>
  <c r="S31" i="7" s="1"/>
  <c r="V8" i="7"/>
  <c r="X8" i="7" s="1"/>
  <c r="V10" i="7"/>
  <c r="W27" i="7"/>
  <c r="O126" i="5" s="1"/>
  <c r="O135" i="5" s="1"/>
  <c r="W29" i="7"/>
  <c r="O154" i="5" s="1"/>
  <c r="O163" i="5" s="1"/>
  <c r="S19" i="5"/>
  <c r="W23" i="7" l="1"/>
  <c r="O70" i="5" s="1"/>
  <c r="O79" i="5" s="1"/>
  <c r="X10" i="7"/>
  <c r="W25" i="7"/>
  <c r="O98" i="5" s="1"/>
  <c r="O107" i="5" s="1"/>
  <c r="X12" i="7"/>
  <c r="V31" i="19"/>
  <c r="S18" i="5"/>
  <c r="N5" i="27" l="1"/>
  <c r="N5" i="26"/>
  <c r="R5" i="25"/>
  <c r="N5" i="23"/>
  <c r="N5" i="22"/>
  <c r="N5" i="20"/>
  <c r="W5" i="19"/>
  <c r="W5" i="7"/>
  <c r="C9" i="27" l="1"/>
  <c r="C10" i="27"/>
  <c r="C11" i="27"/>
  <c r="C12" i="27"/>
  <c r="C13" i="27"/>
  <c r="C14" i="27"/>
  <c r="C15" i="27"/>
  <c r="C16" i="27"/>
  <c r="C17" i="27"/>
  <c r="C8" i="27"/>
  <c r="C9" i="26"/>
  <c r="C10" i="26"/>
  <c r="C11" i="26"/>
  <c r="C12" i="26"/>
  <c r="C13" i="26"/>
  <c r="C14" i="26"/>
  <c r="C15" i="26"/>
  <c r="C16" i="26"/>
  <c r="C17" i="26"/>
  <c r="C8" i="26"/>
  <c r="C9" i="25"/>
  <c r="C10" i="25"/>
  <c r="C11" i="25"/>
  <c r="C12" i="25"/>
  <c r="C13" i="25"/>
  <c r="C14" i="25"/>
  <c r="C15" i="25"/>
  <c r="C16" i="25"/>
  <c r="C17" i="25"/>
  <c r="C8" i="25"/>
  <c r="C9" i="23"/>
  <c r="C10" i="23"/>
  <c r="C11" i="23"/>
  <c r="C12" i="23"/>
  <c r="C13" i="23"/>
  <c r="C14" i="23"/>
  <c r="C15" i="23"/>
  <c r="C16" i="23"/>
  <c r="C17" i="23"/>
  <c r="C8" i="23"/>
  <c r="C9" i="22"/>
  <c r="C10" i="22"/>
  <c r="C11" i="22"/>
  <c r="C12" i="22"/>
  <c r="C13" i="22"/>
  <c r="C8" i="22"/>
  <c r="C9" i="20"/>
  <c r="C10" i="20"/>
  <c r="C11" i="20"/>
  <c r="C12" i="20"/>
  <c r="C13" i="20"/>
  <c r="C14" i="20"/>
  <c r="C15" i="20"/>
  <c r="C16" i="20"/>
  <c r="C17" i="20"/>
  <c r="C8" i="20"/>
  <c r="C9" i="19"/>
  <c r="C10" i="19"/>
  <c r="C11" i="19"/>
  <c r="C12" i="19"/>
  <c r="C13" i="19"/>
  <c r="C14" i="19"/>
  <c r="C15" i="19"/>
  <c r="C16" i="19"/>
  <c r="C17" i="19"/>
  <c r="C8" i="19"/>
  <c r="S27" i="5" l="1"/>
  <c r="M31" i="27"/>
  <c r="K27" i="5" s="1"/>
  <c r="L31" i="27"/>
  <c r="J27" i="5" s="1"/>
  <c r="K31" i="27"/>
  <c r="I27" i="5" s="1"/>
  <c r="J31" i="27"/>
  <c r="H27" i="5" s="1"/>
  <c r="N30" i="27"/>
  <c r="M30" i="27"/>
  <c r="K176" i="5" s="1"/>
  <c r="L30" i="27"/>
  <c r="J176" i="5" s="1"/>
  <c r="K30" i="27"/>
  <c r="I176" i="5" s="1"/>
  <c r="J30" i="27"/>
  <c r="H176" i="5" s="1"/>
  <c r="I30" i="27"/>
  <c r="N29" i="27"/>
  <c r="M29" i="27"/>
  <c r="K162" i="5" s="1"/>
  <c r="L29" i="27"/>
  <c r="J162" i="5" s="1"/>
  <c r="K29" i="27"/>
  <c r="I162" i="5" s="1"/>
  <c r="J29" i="27"/>
  <c r="H162" i="5" s="1"/>
  <c r="I29" i="27"/>
  <c r="N28" i="27"/>
  <c r="M28" i="27"/>
  <c r="K148" i="5" s="1"/>
  <c r="L28" i="27"/>
  <c r="J148" i="5" s="1"/>
  <c r="K28" i="27"/>
  <c r="I148" i="5" s="1"/>
  <c r="J28" i="27"/>
  <c r="H148" i="5" s="1"/>
  <c r="I28" i="27"/>
  <c r="N27" i="27"/>
  <c r="M27" i="27"/>
  <c r="K134" i="5" s="1"/>
  <c r="L27" i="27"/>
  <c r="J134" i="5" s="1"/>
  <c r="K27" i="27"/>
  <c r="I134" i="5" s="1"/>
  <c r="J27" i="27"/>
  <c r="H134" i="5" s="1"/>
  <c r="I27" i="27"/>
  <c r="N26" i="27"/>
  <c r="M26" i="27"/>
  <c r="K120" i="5" s="1"/>
  <c r="L26" i="27"/>
  <c r="J120" i="5" s="1"/>
  <c r="K26" i="27"/>
  <c r="I120" i="5" s="1"/>
  <c r="J26" i="27"/>
  <c r="H120" i="5" s="1"/>
  <c r="I26" i="27"/>
  <c r="N25" i="27"/>
  <c r="M25" i="27"/>
  <c r="K106" i="5" s="1"/>
  <c r="L25" i="27"/>
  <c r="J106" i="5" s="1"/>
  <c r="K25" i="27"/>
  <c r="I106" i="5" s="1"/>
  <c r="J25" i="27"/>
  <c r="H106" i="5" s="1"/>
  <c r="I25" i="27"/>
  <c r="N24" i="27"/>
  <c r="M24" i="27"/>
  <c r="K92" i="5" s="1"/>
  <c r="L24" i="27"/>
  <c r="J92" i="5" s="1"/>
  <c r="K24" i="27"/>
  <c r="I92" i="5" s="1"/>
  <c r="J24" i="27"/>
  <c r="H92" i="5" s="1"/>
  <c r="I24" i="27"/>
  <c r="N23" i="27"/>
  <c r="M23" i="27"/>
  <c r="K78" i="5" s="1"/>
  <c r="L23" i="27"/>
  <c r="J78" i="5" s="1"/>
  <c r="K23" i="27"/>
  <c r="I78" i="5" s="1"/>
  <c r="J23" i="27"/>
  <c r="H78" i="5" s="1"/>
  <c r="I23" i="27"/>
  <c r="N22" i="27"/>
  <c r="M22" i="27"/>
  <c r="K64" i="5" s="1"/>
  <c r="L22" i="27"/>
  <c r="J64" i="5" s="1"/>
  <c r="K22" i="27"/>
  <c r="I64" i="5" s="1"/>
  <c r="J22" i="27"/>
  <c r="H64" i="5" s="1"/>
  <c r="I22" i="27"/>
  <c r="M21" i="27"/>
  <c r="K50" i="5" s="1"/>
  <c r="L21" i="27"/>
  <c r="J50" i="5" s="1"/>
  <c r="K21" i="27"/>
  <c r="I50" i="5" s="1"/>
  <c r="J21" i="27"/>
  <c r="H50" i="5" s="1"/>
  <c r="I21" i="27"/>
  <c r="N18" i="27"/>
  <c r="V27" i="5" s="1"/>
  <c r="L18" i="27"/>
  <c r="O27" i="5" s="1"/>
  <c r="V17" i="27"/>
  <c r="V16" i="27"/>
  <c r="V15" i="27"/>
  <c r="V14" i="27"/>
  <c r="V13" i="27"/>
  <c r="V12" i="27"/>
  <c r="V11" i="27"/>
  <c r="V10" i="27"/>
  <c r="V9" i="27"/>
  <c r="V8" i="27"/>
  <c r="S26" i="5"/>
  <c r="M31" i="26"/>
  <c r="K26" i="5" s="1"/>
  <c r="L31" i="26"/>
  <c r="J26" i="5" s="1"/>
  <c r="K31" i="26"/>
  <c r="I26" i="5" s="1"/>
  <c r="J31" i="26"/>
  <c r="H26" i="5" s="1"/>
  <c r="N30" i="26"/>
  <c r="M30" i="26"/>
  <c r="K175" i="5" s="1"/>
  <c r="L30" i="26"/>
  <c r="J175" i="5" s="1"/>
  <c r="K30" i="26"/>
  <c r="I175" i="5" s="1"/>
  <c r="J30" i="26"/>
  <c r="H175" i="5" s="1"/>
  <c r="I30" i="26"/>
  <c r="N29" i="26"/>
  <c r="M29" i="26"/>
  <c r="K161" i="5" s="1"/>
  <c r="L29" i="26"/>
  <c r="J161" i="5" s="1"/>
  <c r="K29" i="26"/>
  <c r="I161" i="5" s="1"/>
  <c r="J29" i="26"/>
  <c r="H161" i="5" s="1"/>
  <c r="I29" i="26"/>
  <c r="N28" i="26"/>
  <c r="M28" i="26"/>
  <c r="K147" i="5" s="1"/>
  <c r="L28" i="26"/>
  <c r="J147" i="5" s="1"/>
  <c r="K28" i="26"/>
  <c r="I147" i="5" s="1"/>
  <c r="J28" i="26"/>
  <c r="H147" i="5" s="1"/>
  <c r="I28" i="26"/>
  <c r="N27" i="26"/>
  <c r="M27" i="26"/>
  <c r="K133" i="5" s="1"/>
  <c r="L27" i="26"/>
  <c r="J133" i="5" s="1"/>
  <c r="K27" i="26"/>
  <c r="I133" i="5" s="1"/>
  <c r="J27" i="26"/>
  <c r="H133" i="5" s="1"/>
  <c r="I27" i="26"/>
  <c r="N26" i="26"/>
  <c r="M26" i="26"/>
  <c r="K119" i="5" s="1"/>
  <c r="L26" i="26"/>
  <c r="J119" i="5" s="1"/>
  <c r="K26" i="26"/>
  <c r="I119" i="5" s="1"/>
  <c r="J26" i="26"/>
  <c r="H119" i="5" s="1"/>
  <c r="I26" i="26"/>
  <c r="N25" i="26"/>
  <c r="M25" i="26"/>
  <c r="K105" i="5" s="1"/>
  <c r="L25" i="26"/>
  <c r="J105" i="5" s="1"/>
  <c r="K25" i="26"/>
  <c r="I105" i="5" s="1"/>
  <c r="J25" i="26"/>
  <c r="H105" i="5" s="1"/>
  <c r="I25" i="26"/>
  <c r="N24" i="26"/>
  <c r="M24" i="26"/>
  <c r="K91" i="5" s="1"/>
  <c r="L24" i="26"/>
  <c r="J91" i="5" s="1"/>
  <c r="K24" i="26"/>
  <c r="I91" i="5" s="1"/>
  <c r="J24" i="26"/>
  <c r="H91" i="5" s="1"/>
  <c r="I24" i="26"/>
  <c r="N23" i="26"/>
  <c r="M23" i="26"/>
  <c r="K77" i="5" s="1"/>
  <c r="L23" i="26"/>
  <c r="J77" i="5" s="1"/>
  <c r="K23" i="26"/>
  <c r="I77" i="5" s="1"/>
  <c r="J23" i="26"/>
  <c r="H77" i="5" s="1"/>
  <c r="I23" i="26"/>
  <c r="N22" i="26"/>
  <c r="M22" i="26"/>
  <c r="K63" i="5" s="1"/>
  <c r="L22" i="26"/>
  <c r="J63" i="5" s="1"/>
  <c r="K22" i="26"/>
  <c r="I63" i="5" s="1"/>
  <c r="J22" i="26"/>
  <c r="H63" i="5" s="1"/>
  <c r="I22" i="26"/>
  <c r="N21" i="26"/>
  <c r="M21" i="26"/>
  <c r="K49" i="5" s="1"/>
  <c r="L21" i="26"/>
  <c r="J49" i="5" s="1"/>
  <c r="K21" i="26"/>
  <c r="I49" i="5" s="1"/>
  <c r="J21" i="26"/>
  <c r="H49" i="5" s="1"/>
  <c r="I21" i="26"/>
  <c r="N18" i="26"/>
  <c r="V26" i="5" s="1"/>
  <c r="L18" i="26"/>
  <c r="O26" i="5" s="1"/>
  <c r="V17" i="26"/>
  <c r="V16" i="26"/>
  <c r="V15" i="26"/>
  <c r="V14" i="26"/>
  <c r="V13" i="26"/>
  <c r="V12" i="26"/>
  <c r="V11" i="26"/>
  <c r="V10" i="26"/>
  <c r="V9" i="26"/>
  <c r="V8" i="26"/>
  <c r="S25" i="5"/>
  <c r="Q30" i="25"/>
  <c r="J30" i="25"/>
  <c r="Q29" i="25"/>
  <c r="J29" i="25"/>
  <c r="Q28" i="25"/>
  <c r="J28" i="25"/>
  <c r="Q27" i="25"/>
  <c r="J27" i="25"/>
  <c r="Q26" i="25"/>
  <c r="J26" i="25"/>
  <c r="Q25" i="25"/>
  <c r="J25" i="25"/>
  <c r="Q24" i="25"/>
  <c r="J24" i="25"/>
  <c r="Q23" i="25"/>
  <c r="J23" i="25"/>
  <c r="Q22" i="25"/>
  <c r="J22" i="25"/>
  <c r="Q21" i="25"/>
  <c r="J21" i="25"/>
  <c r="R18" i="25"/>
  <c r="V25" i="5" s="1"/>
  <c r="L18" i="25"/>
  <c r="O25" i="5" s="1"/>
  <c r="Z17" i="25"/>
  <c r="Z16" i="25"/>
  <c r="Z15" i="25"/>
  <c r="Z14" i="25"/>
  <c r="Z13" i="25"/>
  <c r="Z12" i="25"/>
  <c r="Z11" i="25"/>
  <c r="Z10" i="25"/>
  <c r="Z9" i="25"/>
  <c r="Z8" i="25"/>
  <c r="S24" i="5"/>
  <c r="M31" i="23"/>
  <c r="K24" i="5" s="1"/>
  <c r="L31" i="23"/>
  <c r="J24" i="5" s="1"/>
  <c r="K31" i="23"/>
  <c r="I24" i="5" s="1"/>
  <c r="J31" i="23"/>
  <c r="H24" i="5" s="1"/>
  <c r="N30" i="23"/>
  <c r="M30" i="23"/>
  <c r="K173" i="5" s="1"/>
  <c r="L30" i="23"/>
  <c r="J173" i="5" s="1"/>
  <c r="K30" i="23"/>
  <c r="I173" i="5" s="1"/>
  <c r="J30" i="23"/>
  <c r="H173" i="5" s="1"/>
  <c r="I30" i="23"/>
  <c r="N29" i="23"/>
  <c r="M29" i="23"/>
  <c r="K159" i="5" s="1"/>
  <c r="L29" i="23"/>
  <c r="J159" i="5" s="1"/>
  <c r="K29" i="23"/>
  <c r="I159" i="5" s="1"/>
  <c r="J29" i="23"/>
  <c r="H159" i="5" s="1"/>
  <c r="I29" i="23"/>
  <c r="N28" i="23"/>
  <c r="M28" i="23"/>
  <c r="K145" i="5" s="1"/>
  <c r="L28" i="23"/>
  <c r="J145" i="5" s="1"/>
  <c r="K28" i="23"/>
  <c r="I145" i="5" s="1"/>
  <c r="J28" i="23"/>
  <c r="H145" i="5" s="1"/>
  <c r="I28" i="23"/>
  <c r="N27" i="23"/>
  <c r="M27" i="23"/>
  <c r="K131" i="5" s="1"/>
  <c r="L27" i="23"/>
  <c r="J131" i="5" s="1"/>
  <c r="K27" i="23"/>
  <c r="I131" i="5" s="1"/>
  <c r="J27" i="23"/>
  <c r="H131" i="5" s="1"/>
  <c r="I27" i="23"/>
  <c r="N26" i="23"/>
  <c r="M26" i="23"/>
  <c r="K117" i="5" s="1"/>
  <c r="L26" i="23"/>
  <c r="J117" i="5" s="1"/>
  <c r="K26" i="23"/>
  <c r="I117" i="5" s="1"/>
  <c r="J26" i="23"/>
  <c r="H117" i="5" s="1"/>
  <c r="I26" i="23"/>
  <c r="N25" i="23"/>
  <c r="M25" i="23"/>
  <c r="K103" i="5" s="1"/>
  <c r="L25" i="23"/>
  <c r="J103" i="5" s="1"/>
  <c r="K25" i="23"/>
  <c r="I103" i="5" s="1"/>
  <c r="J25" i="23"/>
  <c r="H103" i="5" s="1"/>
  <c r="I25" i="23"/>
  <c r="N24" i="23"/>
  <c r="M24" i="23"/>
  <c r="K89" i="5" s="1"/>
  <c r="L24" i="23"/>
  <c r="J89" i="5" s="1"/>
  <c r="K24" i="23"/>
  <c r="I89" i="5" s="1"/>
  <c r="J24" i="23"/>
  <c r="H89" i="5" s="1"/>
  <c r="I24" i="23"/>
  <c r="N23" i="23"/>
  <c r="M23" i="23"/>
  <c r="K75" i="5" s="1"/>
  <c r="L23" i="23"/>
  <c r="J75" i="5" s="1"/>
  <c r="K23" i="23"/>
  <c r="I75" i="5" s="1"/>
  <c r="J23" i="23"/>
  <c r="H75" i="5" s="1"/>
  <c r="I23" i="23"/>
  <c r="N22" i="23"/>
  <c r="M22" i="23"/>
  <c r="K61" i="5" s="1"/>
  <c r="L22" i="23"/>
  <c r="J61" i="5" s="1"/>
  <c r="K22" i="23"/>
  <c r="I61" i="5" s="1"/>
  <c r="J22" i="23"/>
  <c r="H61" i="5" s="1"/>
  <c r="I22" i="23"/>
  <c r="N21" i="23"/>
  <c r="M21" i="23"/>
  <c r="K47" i="5" s="1"/>
  <c r="L21" i="23"/>
  <c r="J47" i="5" s="1"/>
  <c r="K21" i="23"/>
  <c r="I47" i="5" s="1"/>
  <c r="J21" i="23"/>
  <c r="H47" i="5" s="1"/>
  <c r="I21" i="23"/>
  <c r="N18" i="23"/>
  <c r="V24" i="5" s="1"/>
  <c r="L18" i="23"/>
  <c r="O24" i="5" s="1"/>
  <c r="V17" i="23"/>
  <c r="V16" i="23"/>
  <c r="V15" i="23"/>
  <c r="V14" i="23"/>
  <c r="V13" i="23"/>
  <c r="V12" i="23"/>
  <c r="V11" i="23"/>
  <c r="V10" i="23"/>
  <c r="V9" i="23"/>
  <c r="V8" i="23"/>
  <c r="N31" i="27" l="1"/>
  <c r="Q31" i="25"/>
  <c r="N31" i="26"/>
  <c r="N31" i="23"/>
  <c r="L63" i="5"/>
  <c r="L91" i="5"/>
  <c r="L77" i="5"/>
  <c r="L92" i="5"/>
  <c r="L24" i="5"/>
  <c r="L103" i="5"/>
  <c r="L145" i="5"/>
  <c r="L159" i="5"/>
  <c r="L173" i="5"/>
  <c r="L117" i="5"/>
  <c r="L89" i="5"/>
  <c r="L131" i="5"/>
  <c r="L75" i="5"/>
  <c r="L61" i="5"/>
  <c r="L64" i="5"/>
  <c r="L120" i="5"/>
  <c r="L134" i="5"/>
  <c r="L148" i="5"/>
  <c r="L162" i="5"/>
  <c r="L176" i="5"/>
  <c r="L78" i="5"/>
  <c r="L27" i="5"/>
  <c r="Z29" i="5" s="1"/>
  <c r="L106" i="5"/>
  <c r="L26" i="5"/>
  <c r="L105" i="5"/>
  <c r="L119" i="5"/>
  <c r="L133" i="5"/>
  <c r="L147" i="5"/>
  <c r="L161" i="5"/>
  <c r="L175" i="5"/>
  <c r="R27" i="5"/>
  <c r="R26" i="5"/>
  <c r="R25" i="5"/>
  <c r="R24" i="5"/>
  <c r="O23" i="5"/>
  <c r="L18" i="20"/>
  <c r="O21" i="5" s="1"/>
  <c r="S23" i="5"/>
  <c r="M31" i="22"/>
  <c r="K23" i="5" s="1"/>
  <c r="L31" i="22"/>
  <c r="J23" i="5" s="1"/>
  <c r="K31" i="22"/>
  <c r="I23" i="5" s="1"/>
  <c r="J31" i="22"/>
  <c r="H23" i="5" s="1"/>
  <c r="N30" i="22"/>
  <c r="M30" i="22"/>
  <c r="K172" i="5" s="1"/>
  <c r="L30" i="22"/>
  <c r="J172" i="5" s="1"/>
  <c r="K30" i="22"/>
  <c r="I172" i="5" s="1"/>
  <c r="J30" i="22"/>
  <c r="H172" i="5" s="1"/>
  <c r="I30" i="22"/>
  <c r="N29" i="22"/>
  <c r="M29" i="22"/>
  <c r="K158" i="5" s="1"/>
  <c r="L29" i="22"/>
  <c r="J158" i="5" s="1"/>
  <c r="K29" i="22"/>
  <c r="I158" i="5" s="1"/>
  <c r="J29" i="22"/>
  <c r="H158" i="5" s="1"/>
  <c r="I29" i="22"/>
  <c r="N28" i="22"/>
  <c r="M28" i="22"/>
  <c r="K144" i="5" s="1"/>
  <c r="L28" i="22"/>
  <c r="J144" i="5" s="1"/>
  <c r="K28" i="22"/>
  <c r="I144" i="5" s="1"/>
  <c r="J28" i="22"/>
  <c r="H144" i="5" s="1"/>
  <c r="I28" i="22"/>
  <c r="N27" i="22"/>
  <c r="M27" i="22"/>
  <c r="K130" i="5" s="1"/>
  <c r="L27" i="22"/>
  <c r="J130" i="5" s="1"/>
  <c r="K27" i="22"/>
  <c r="I130" i="5" s="1"/>
  <c r="J27" i="22"/>
  <c r="H130" i="5" s="1"/>
  <c r="I27" i="22"/>
  <c r="N26" i="22"/>
  <c r="M26" i="22"/>
  <c r="K116" i="5" s="1"/>
  <c r="L26" i="22"/>
  <c r="J116" i="5" s="1"/>
  <c r="K26" i="22"/>
  <c r="I116" i="5" s="1"/>
  <c r="J26" i="22"/>
  <c r="H116" i="5" s="1"/>
  <c r="I26" i="22"/>
  <c r="N25" i="22"/>
  <c r="M25" i="22"/>
  <c r="K102" i="5" s="1"/>
  <c r="L25" i="22"/>
  <c r="J102" i="5" s="1"/>
  <c r="K25" i="22"/>
  <c r="I102" i="5" s="1"/>
  <c r="J25" i="22"/>
  <c r="H102" i="5" s="1"/>
  <c r="I25" i="22"/>
  <c r="N24" i="22"/>
  <c r="M24" i="22"/>
  <c r="K88" i="5" s="1"/>
  <c r="L24" i="22"/>
  <c r="J88" i="5" s="1"/>
  <c r="K24" i="22"/>
  <c r="I88" i="5" s="1"/>
  <c r="J24" i="22"/>
  <c r="H88" i="5" s="1"/>
  <c r="I24" i="22"/>
  <c r="N23" i="22"/>
  <c r="M23" i="22"/>
  <c r="K74" i="5" s="1"/>
  <c r="L23" i="22"/>
  <c r="J74" i="5" s="1"/>
  <c r="K23" i="22"/>
  <c r="I74" i="5" s="1"/>
  <c r="J23" i="22"/>
  <c r="H74" i="5" s="1"/>
  <c r="I23" i="22"/>
  <c r="K60" i="5"/>
  <c r="J60" i="5"/>
  <c r="I60" i="5"/>
  <c r="H60" i="5"/>
  <c r="K46" i="5"/>
  <c r="J46" i="5"/>
  <c r="I46" i="5"/>
  <c r="H46" i="5"/>
  <c r="V23" i="5"/>
  <c r="V22" i="5" s="1"/>
  <c r="V13" i="22"/>
  <c r="V12" i="22"/>
  <c r="V11" i="22"/>
  <c r="V10" i="22"/>
  <c r="V9" i="22"/>
  <c r="V8" i="22"/>
  <c r="L47" i="5"/>
  <c r="L49" i="5"/>
  <c r="L50" i="5"/>
  <c r="S21" i="5"/>
  <c r="M30" i="20"/>
  <c r="K170" i="5" s="1"/>
  <c r="K30" i="20"/>
  <c r="I170" i="5" s="1"/>
  <c r="J30" i="20"/>
  <c r="H170" i="5" s="1"/>
  <c r="I30" i="20"/>
  <c r="N29" i="20"/>
  <c r="M29" i="20"/>
  <c r="K156" i="5" s="1"/>
  <c r="L29" i="20"/>
  <c r="J156" i="5" s="1"/>
  <c r="K29" i="20"/>
  <c r="I156" i="5" s="1"/>
  <c r="J29" i="20"/>
  <c r="H156" i="5" s="1"/>
  <c r="I29" i="20"/>
  <c r="N28" i="20"/>
  <c r="M28" i="20"/>
  <c r="K142" i="5" s="1"/>
  <c r="L28" i="20"/>
  <c r="J142" i="5" s="1"/>
  <c r="K28" i="20"/>
  <c r="I142" i="5" s="1"/>
  <c r="J28" i="20"/>
  <c r="H142" i="5" s="1"/>
  <c r="I28" i="20"/>
  <c r="N27" i="20"/>
  <c r="M27" i="20"/>
  <c r="K128" i="5" s="1"/>
  <c r="L27" i="20"/>
  <c r="J128" i="5" s="1"/>
  <c r="K27" i="20"/>
  <c r="I128" i="5" s="1"/>
  <c r="J27" i="20"/>
  <c r="H128" i="5" s="1"/>
  <c r="I27" i="20"/>
  <c r="N26" i="20"/>
  <c r="M26" i="20"/>
  <c r="K114" i="5" s="1"/>
  <c r="L26" i="20"/>
  <c r="J114" i="5" s="1"/>
  <c r="K26" i="20"/>
  <c r="I114" i="5" s="1"/>
  <c r="J26" i="20"/>
  <c r="H114" i="5" s="1"/>
  <c r="I26" i="20"/>
  <c r="N25" i="20"/>
  <c r="M25" i="20"/>
  <c r="K100" i="5" s="1"/>
  <c r="L25" i="20"/>
  <c r="J100" i="5" s="1"/>
  <c r="K25" i="20"/>
  <c r="I100" i="5" s="1"/>
  <c r="J25" i="20"/>
  <c r="H100" i="5" s="1"/>
  <c r="I25" i="20"/>
  <c r="M24" i="20"/>
  <c r="K86" i="5" s="1"/>
  <c r="L24" i="20"/>
  <c r="J86" i="5" s="1"/>
  <c r="J24" i="20"/>
  <c r="H86" i="5" s="1"/>
  <c r="I24" i="20"/>
  <c r="M23" i="20"/>
  <c r="K72" i="5" s="1"/>
  <c r="L23" i="20"/>
  <c r="J72" i="5" s="1"/>
  <c r="I23" i="20"/>
  <c r="M22" i="20"/>
  <c r="K58" i="5" s="1"/>
  <c r="L22" i="20"/>
  <c r="J58" i="5" s="1"/>
  <c r="I22" i="20"/>
  <c r="L21" i="20"/>
  <c r="I21" i="20"/>
  <c r="N18" i="20"/>
  <c r="V21" i="5" s="1"/>
  <c r="M21" i="20"/>
  <c r="V17" i="20"/>
  <c r="V16" i="20"/>
  <c r="V15" i="20"/>
  <c r="V14" i="20"/>
  <c r="V13" i="20"/>
  <c r="V12" i="20"/>
  <c r="N24" i="20"/>
  <c r="V11" i="20"/>
  <c r="V10" i="20"/>
  <c r="N22" i="20"/>
  <c r="V9" i="20"/>
  <c r="V8" i="20"/>
  <c r="W18" i="19"/>
  <c r="V20" i="5" s="1"/>
  <c r="O18" i="19"/>
  <c r="O20" i="5" s="1"/>
  <c r="AE17" i="19"/>
  <c r="AE16" i="19"/>
  <c r="AE15" i="19"/>
  <c r="AE14" i="19"/>
  <c r="AE13" i="19"/>
  <c r="AE12" i="19"/>
  <c r="AE11" i="19"/>
  <c r="AE10" i="19"/>
  <c r="AE9" i="19"/>
  <c r="AE8" i="19"/>
  <c r="K168" i="5"/>
  <c r="I168" i="5"/>
  <c r="H168" i="5"/>
  <c r="K154" i="5"/>
  <c r="J154" i="5"/>
  <c r="I154" i="5"/>
  <c r="H154" i="5"/>
  <c r="K140" i="5"/>
  <c r="J140" i="5"/>
  <c r="I140" i="5"/>
  <c r="H140" i="5"/>
  <c r="K126" i="5"/>
  <c r="J126" i="5"/>
  <c r="I126" i="5"/>
  <c r="H126" i="5"/>
  <c r="K112" i="5"/>
  <c r="J112" i="5"/>
  <c r="I112" i="5"/>
  <c r="H112" i="5"/>
  <c r="K98" i="5"/>
  <c r="J98" i="5"/>
  <c r="I98" i="5"/>
  <c r="H98" i="5"/>
  <c r="J84" i="5"/>
  <c r="K70" i="5"/>
  <c r="K56" i="5"/>
  <c r="J56" i="5"/>
  <c r="E9" i="6"/>
  <c r="T6" i="5"/>
  <c r="E168" i="5"/>
  <c r="E169" i="5"/>
  <c r="E170" i="5"/>
  <c r="E172" i="5"/>
  <c r="E173" i="5"/>
  <c r="M173" i="5" s="1"/>
  <c r="E174" i="5"/>
  <c r="M174" i="5" s="1"/>
  <c r="E175" i="5"/>
  <c r="M175" i="5" s="1"/>
  <c r="E176" i="5"/>
  <c r="M176" i="5" s="1"/>
  <c r="E154" i="5"/>
  <c r="E155" i="5"/>
  <c r="E156" i="5"/>
  <c r="E158" i="5"/>
  <c r="E159" i="5"/>
  <c r="M159" i="5" s="1"/>
  <c r="E160" i="5"/>
  <c r="M160" i="5" s="1"/>
  <c r="E161" i="5"/>
  <c r="M161" i="5" s="1"/>
  <c r="E162" i="5"/>
  <c r="M162" i="5" s="1"/>
  <c r="E140" i="5"/>
  <c r="E141" i="5"/>
  <c r="E142" i="5"/>
  <c r="E144" i="5"/>
  <c r="E145" i="5"/>
  <c r="M145" i="5" s="1"/>
  <c r="E146" i="5"/>
  <c r="M146" i="5" s="1"/>
  <c r="E147" i="5"/>
  <c r="M147" i="5" s="1"/>
  <c r="E148" i="5"/>
  <c r="M148" i="5" s="1"/>
  <c r="E126" i="5"/>
  <c r="E127" i="5"/>
  <c r="E128" i="5"/>
  <c r="E130" i="5"/>
  <c r="E131" i="5"/>
  <c r="M131" i="5" s="1"/>
  <c r="E132" i="5"/>
  <c r="M132" i="5" s="1"/>
  <c r="E133" i="5"/>
  <c r="M133" i="5" s="1"/>
  <c r="E134" i="5"/>
  <c r="M134" i="5" s="1"/>
  <c r="E112" i="5"/>
  <c r="E113" i="5"/>
  <c r="E114" i="5"/>
  <c r="E116" i="5"/>
  <c r="E117" i="5"/>
  <c r="M117" i="5" s="1"/>
  <c r="E118" i="5"/>
  <c r="M118" i="5" s="1"/>
  <c r="E119" i="5"/>
  <c r="M119" i="5" s="1"/>
  <c r="E120" i="5"/>
  <c r="M120" i="5" s="1"/>
  <c r="E98" i="5"/>
  <c r="E99" i="5"/>
  <c r="E100" i="5"/>
  <c r="E102" i="5"/>
  <c r="E103" i="5"/>
  <c r="M103" i="5" s="1"/>
  <c r="E104" i="5"/>
  <c r="M104" i="5" s="1"/>
  <c r="E105" i="5"/>
  <c r="M105" i="5" s="1"/>
  <c r="E106" i="5"/>
  <c r="M106" i="5" s="1"/>
  <c r="E84" i="5"/>
  <c r="E85" i="5"/>
  <c r="E86" i="5"/>
  <c r="E88" i="5"/>
  <c r="E89" i="5"/>
  <c r="M89" i="5" s="1"/>
  <c r="E90" i="5"/>
  <c r="M90" i="5" s="1"/>
  <c r="E91" i="5"/>
  <c r="M91" i="5" s="1"/>
  <c r="E92" i="5"/>
  <c r="M92" i="5" s="1"/>
  <c r="E70" i="5"/>
  <c r="E71" i="5"/>
  <c r="E72" i="5"/>
  <c r="E74" i="5"/>
  <c r="E75" i="5"/>
  <c r="M75" i="5" s="1"/>
  <c r="E76" i="5"/>
  <c r="M76" i="5" s="1"/>
  <c r="E77" i="5"/>
  <c r="M77" i="5" s="1"/>
  <c r="E78" i="5"/>
  <c r="M78" i="5" s="1"/>
  <c r="E56" i="5"/>
  <c r="E57" i="5"/>
  <c r="E58" i="5"/>
  <c r="E60" i="5"/>
  <c r="E61" i="5"/>
  <c r="M61" i="5" s="1"/>
  <c r="E62" i="5"/>
  <c r="M62" i="5" s="1"/>
  <c r="E63" i="5"/>
  <c r="M63" i="5" s="1"/>
  <c r="E64" i="5"/>
  <c r="M64" i="5" s="1"/>
  <c r="C165" i="5"/>
  <c r="C151" i="5"/>
  <c r="C137" i="5"/>
  <c r="C123" i="5"/>
  <c r="C109" i="5"/>
  <c r="C95" i="5"/>
  <c r="C81" i="5"/>
  <c r="C67" i="5"/>
  <c r="C53" i="5"/>
  <c r="E42" i="5"/>
  <c r="E43" i="5"/>
  <c r="E44" i="5"/>
  <c r="E46" i="5"/>
  <c r="E47" i="5"/>
  <c r="E48" i="5"/>
  <c r="E49" i="5"/>
  <c r="E50" i="5"/>
  <c r="M50" i="5" s="1"/>
  <c r="C39" i="5"/>
  <c r="O21" i="7"/>
  <c r="O18" i="7"/>
  <c r="V29" i="7"/>
  <c r="O30" i="7"/>
  <c r="O29" i="7"/>
  <c r="O28" i="7"/>
  <c r="O27" i="7"/>
  <c r="O26" i="7"/>
  <c r="O25" i="7"/>
  <c r="O24" i="7"/>
  <c r="O23" i="7"/>
  <c r="O22" i="7"/>
  <c r="E32" i="5"/>
  <c r="E33" i="5"/>
  <c r="E34" i="5"/>
  <c r="E31" i="5"/>
  <c r="Z32" i="5" s="1"/>
  <c r="J13" i="5"/>
  <c r="C13" i="5"/>
  <c r="J11" i="5"/>
  <c r="J10" i="5"/>
  <c r="D11" i="5"/>
  <c r="D10" i="5"/>
  <c r="D7" i="5"/>
  <c r="D8" i="5"/>
  <c r="D9" i="5"/>
  <c r="D6" i="5"/>
  <c r="C7" i="5"/>
  <c r="C8" i="5"/>
  <c r="C9" i="5"/>
  <c r="C10" i="5"/>
  <c r="C11" i="5"/>
  <c r="C12" i="5"/>
  <c r="C6" i="5"/>
  <c r="I21" i="18"/>
  <c r="E55" i="5" s="1"/>
  <c r="J21" i="18"/>
  <c r="K21" i="18"/>
  <c r="E83" i="5" s="1"/>
  <c r="L21" i="18"/>
  <c r="E97" i="5" s="1"/>
  <c r="M21" i="18"/>
  <c r="E111" i="5" s="1"/>
  <c r="N21" i="18"/>
  <c r="E125" i="5" s="1"/>
  <c r="O21" i="18"/>
  <c r="E139" i="5" s="1"/>
  <c r="P21" i="18"/>
  <c r="E153" i="5" s="1"/>
  <c r="Q21" i="18"/>
  <c r="E167" i="5" s="1"/>
  <c r="I25" i="18"/>
  <c r="E59" i="5" s="1"/>
  <c r="J25" i="18"/>
  <c r="E73" i="5" s="1"/>
  <c r="K25" i="18"/>
  <c r="E87" i="5" s="1"/>
  <c r="L25" i="18"/>
  <c r="E101" i="5" s="1"/>
  <c r="M25" i="18"/>
  <c r="E115" i="5" s="1"/>
  <c r="N25" i="18"/>
  <c r="E129" i="5" s="1"/>
  <c r="O25" i="18"/>
  <c r="E143" i="5" s="1"/>
  <c r="P25" i="18"/>
  <c r="E157" i="5" s="1"/>
  <c r="Q25" i="18"/>
  <c r="E171" i="5" s="1"/>
  <c r="H25" i="18"/>
  <c r="E45" i="5" s="1"/>
  <c r="H21" i="18"/>
  <c r="F30" i="18"/>
  <c r="E27" i="5" s="1"/>
  <c r="F27" i="18"/>
  <c r="E24" i="5" s="1"/>
  <c r="P24" i="5" s="1"/>
  <c r="F28" i="18"/>
  <c r="E25" i="5" s="1"/>
  <c r="P25" i="5" s="1"/>
  <c r="F29" i="18"/>
  <c r="E26" i="5" s="1"/>
  <c r="P26" i="5" s="1"/>
  <c r="F26" i="18"/>
  <c r="E23" i="5" s="1"/>
  <c r="P23" i="5" s="1"/>
  <c r="F23" i="18"/>
  <c r="F24" i="18"/>
  <c r="F22" i="18"/>
  <c r="E19" i="5" s="1"/>
  <c r="F38" i="18"/>
  <c r="G36" i="18" s="1"/>
  <c r="D12" i="18"/>
  <c r="D12" i="5" l="1"/>
  <c r="J12" i="18"/>
  <c r="J12" i="5" s="1"/>
  <c r="J44" i="5"/>
  <c r="K44" i="5"/>
  <c r="M31" i="20"/>
  <c r="T24" i="5"/>
  <c r="N31" i="22"/>
  <c r="S22" i="5"/>
  <c r="S17" i="5" s="1"/>
  <c r="S28" i="5" s="1"/>
  <c r="Z27" i="5"/>
  <c r="K167" i="5"/>
  <c r="K55" i="5"/>
  <c r="J83" i="5"/>
  <c r="L98" i="5"/>
  <c r="M98" i="5" s="1"/>
  <c r="L126" i="5"/>
  <c r="M126" i="5" s="1"/>
  <c r="L154" i="5"/>
  <c r="I111" i="5"/>
  <c r="I139" i="5"/>
  <c r="J97" i="5"/>
  <c r="J111" i="5"/>
  <c r="J139" i="5"/>
  <c r="K153" i="5"/>
  <c r="K69" i="5"/>
  <c r="I97" i="5"/>
  <c r="I125" i="5"/>
  <c r="I153" i="5"/>
  <c r="M154" i="5"/>
  <c r="J55" i="5"/>
  <c r="K97" i="5"/>
  <c r="K111" i="5"/>
  <c r="K125" i="5"/>
  <c r="K139" i="5"/>
  <c r="I167" i="5"/>
  <c r="L112" i="5"/>
  <c r="M112" i="5" s="1"/>
  <c r="L140" i="5"/>
  <c r="H125" i="5"/>
  <c r="H153" i="5"/>
  <c r="L99" i="5"/>
  <c r="H97" i="5"/>
  <c r="H111" i="5"/>
  <c r="L113" i="5"/>
  <c r="L141" i="5"/>
  <c r="M141" i="5" s="1"/>
  <c r="H139" i="5"/>
  <c r="H167" i="5"/>
  <c r="L169" i="5"/>
  <c r="L127" i="5"/>
  <c r="J125" i="5"/>
  <c r="L71" i="5"/>
  <c r="M99" i="5"/>
  <c r="M127" i="5"/>
  <c r="L57" i="5"/>
  <c r="L100" i="5"/>
  <c r="L128" i="5"/>
  <c r="L114" i="5"/>
  <c r="L142" i="5"/>
  <c r="L156" i="5"/>
  <c r="M100" i="5"/>
  <c r="M114" i="5"/>
  <c r="M128" i="5"/>
  <c r="L46" i="5"/>
  <c r="M46" i="5" s="1"/>
  <c r="L23" i="5"/>
  <c r="L102" i="5"/>
  <c r="M102" i="5" s="1"/>
  <c r="L116" i="5"/>
  <c r="M116" i="5" s="1"/>
  <c r="L130" i="5"/>
  <c r="L172" i="5"/>
  <c r="L144" i="5"/>
  <c r="L158" i="5"/>
  <c r="M158" i="5" s="1"/>
  <c r="L74" i="5"/>
  <c r="M74" i="5" s="1"/>
  <c r="L88" i="5"/>
  <c r="M88" i="5" s="1"/>
  <c r="L60" i="5"/>
  <c r="M60" i="5" s="1"/>
  <c r="M47" i="5"/>
  <c r="O45" i="5"/>
  <c r="R23" i="5"/>
  <c r="R22" i="5" s="1"/>
  <c r="M49" i="5"/>
  <c r="M48" i="5"/>
  <c r="J21" i="20"/>
  <c r="K21" i="20"/>
  <c r="J23" i="20"/>
  <c r="H72" i="5" s="1"/>
  <c r="J22" i="20"/>
  <c r="H58" i="5" s="1"/>
  <c r="K22" i="20"/>
  <c r="I58" i="5" s="1"/>
  <c r="K23" i="20"/>
  <c r="I72" i="5" s="1"/>
  <c r="K24" i="20"/>
  <c r="I86" i="5" s="1"/>
  <c r="L86" i="5" s="1"/>
  <c r="L30" i="20"/>
  <c r="J170" i="5" s="1"/>
  <c r="K21" i="5"/>
  <c r="N23" i="20"/>
  <c r="N30" i="20"/>
  <c r="N21" i="20"/>
  <c r="W22" i="19"/>
  <c r="O57" i="5" s="1"/>
  <c r="O65" i="5" s="1"/>
  <c r="W21" i="19"/>
  <c r="O43" i="5" s="1"/>
  <c r="H20" i="18"/>
  <c r="H31" i="18" s="1"/>
  <c r="E51" i="5" s="1"/>
  <c r="J20" i="18"/>
  <c r="J31" i="18" s="1"/>
  <c r="E79" i="5" s="1"/>
  <c r="E41" i="5"/>
  <c r="G38" i="18"/>
  <c r="G35" i="18"/>
  <c r="G34" i="18"/>
  <c r="G37" i="18"/>
  <c r="E69" i="5"/>
  <c r="E21" i="5"/>
  <c r="O20" i="18"/>
  <c r="E20" i="5"/>
  <c r="M20" i="18"/>
  <c r="N20" i="18"/>
  <c r="L20" i="18"/>
  <c r="K20" i="18"/>
  <c r="Q20" i="18"/>
  <c r="I20" i="18"/>
  <c r="F25" i="18"/>
  <c r="P20" i="18"/>
  <c r="F21" i="18"/>
  <c r="E30" i="18" s="1"/>
  <c r="I44" i="5" l="1"/>
  <c r="K31" i="20"/>
  <c r="I21" i="5" s="1"/>
  <c r="H44" i="5"/>
  <c r="J31" i="20"/>
  <c r="H21" i="5" s="1"/>
  <c r="L31" i="20"/>
  <c r="J21" i="5" s="1"/>
  <c r="T23" i="5"/>
  <c r="N31" i="20"/>
  <c r="R20" i="5"/>
  <c r="L139" i="5"/>
  <c r="M140" i="5"/>
  <c r="L111" i="5"/>
  <c r="L125" i="5"/>
  <c r="L97" i="5"/>
  <c r="M57" i="5"/>
  <c r="L20" i="5"/>
  <c r="P20" i="5" s="1"/>
  <c r="M113" i="5"/>
  <c r="M71" i="5"/>
  <c r="M169" i="5"/>
  <c r="L85" i="5"/>
  <c r="L155" i="5"/>
  <c r="J153" i="5"/>
  <c r="L153" i="5" s="1"/>
  <c r="L43" i="5"/>
  <c r="M156" i="5"/>
  <c r="M142" i="5"/>
  <c r="M86" i="5"/>
  <c r="L170" i="5"/>
  <c r="L58" i="5"/>
  <c r="L72" i="5"/>
  <c r="P45" i="5"/>
  <c r="M172" i="5"/>
  <c r="M144" i="5"/>
  <c r="M130" i="5"/>
  <c r="R21" i="5"/>
  <c r="E40" i="5"/>
  <c r="E68" i="5"/>
  <c r="Q31" i="18"/>
  <c r="E177" i="5" s="1"/>
  <c r="E166" i="5"/>
  <c r="P31" i="18"/>
  <c r="E163" i="5" s="1"/>
  <c r="E152" i="5"/>
  <c r="O31" i="18"/>
  <c r="E149" i="5" s="1"/>
  <c r="E138" i="5"/>
  <c r="N31" i="18"/>
  <c r="E135" i="5" s="1"/>
  <c r="E124" i="5"/>
  <c r="M31" i="18"/>
  <c r="E121" i="5" s="1"/>
  <c r="E110" i="5"/>
  <c r="L31" i="18"/>
  <c r="E107" i="5" s="1"/>
  <c r="E96" i="5"/>
  <c r="K31" i="18"/>
  <c r="E93" i="5" s="1"/>
  <c r="E82" i="5"/>
  <c r="I31" i="18"/>
  <c r="E65" i="5" s="1"/>
  <c r="E54" i="5"/>
  <c r="E22" i="5"/>
  <c r="P22" i="5" s="1"/>
  <c r="E18" i="5"/>
  <c r="D27" i="5" s="1"/>
  <c r="F20" i="18"/>
  <c r="L44" i="5" l="1"/>
  <c r="M44" i="5" s="1"/>
  <c r="L21" i="5"/>
  <c r="U21" i="5" s="1"/>
  <c r="T21" i="5" s="1"/>
  <c r="M139" i="5"/>
  <c r="M111" i="5"/>
  <c r="P21" i="5"/>
  <c r="M125" i="5"/>
  <c r="M97" i="5"/>
  <c r="M43" i="5"/>
  <c r="M155" i="5"/>
  <c r="M153" i="5"/>
  <c r="M85" i="5"/>
  <c r="M72" i="5"/>
  <c r="M58" i="5"/>
  <c r="M170" i="5"/>
  <c r="M124" i="5"/>
  <c r="M135" i="5"/>
  <c r="M121" i="5"/>
  <c r="M59" i="5"/>
  <c r="M138" i="5"/>
  <c r="M149" i="5"/>
  <c r="M171" i="5"/>
  <c r="M101" i="5"/>
  <c r="M73" i="5"/>
  <c r="M110" i="5"/>
  <c r="F31" i="18"/>
  <c r="E17" i="5"/>
  <c r="G21" i="18" l="1"/>
  <c r="G29" i="18"/>
  <c r="G30" i="18"/>
  <c r="G20" i="18"/>
  <c r="G24" i="18"/>
  <c r="G25" i="18"/>
  <c r="G26" i="18"/>
  <c r="G27" i="18"/>
  <c r="G28" i="18"/>
  <c r="G22" i="18"/>
  <c r="G23" i="18"/>
  <c r="M163" i="5"/>
  <c r="M96" i="5"/>
  <c r="M107" i="5"/>
  <c r="M152" i="5" l="1"/>
  <c r="O19" i="5"/>
  <c r="C11" i="7" l="1"/>
  <c r="AE11" i="7" s="1"/>
  <c r="H84" i="5" l="1"/>
  <c r="H83" i="5" s="1"/>
  <c r="K84" i="5"/>
  <c r="K83" i="5" s="1"/>
  <c r="V27" i="7"/>
  <c r="I70" i="5"/>
  <c r="I69" i="5" s="1"/>
  <c r="V28" i="7"/>
  <c r="I84" i="5"/>
  <c r="I83" i="5" s="1"/>
  <c r="V24" i="7"/>
  <c r="L83" i="5" l="1"/>
  <c r="L84" i="5"/>
  <c r="M25" i="5"/>
  <c r="M84" i="5" l="1"/>
  <c r="M83" i="5"/>
  <c r="C8" i="7"/>
  <c r="AE8" i="7" s="1"/>
  <c r="M93" i="5" l="1"/>
  <c r="M82" i="5"/>
  <c r="M24" i="5"/>
  <c r="C9" i="7"/>
  <c r="C10" i="7"/>
  <c r="C12" i="7"/>
  <c r="AE12" i="7" s="1"/>
  <c r="C17" i="7"/>
  <c r="H56" i="5" l="1"/>
  <c r="E14" i="6"/>
  <c r="AE9" i="7"/>
  <c r="AE10" i="7"/>
  <c r="AE17" i="7"/>
  <c r="E29" i="6"/>
  <c r="F29" i="6"/>
  <c r="R33" i="5" s="1"/>
  <c r="E44" i="6"/>
  <c r="F44" i="6"/>
  <c r="R34" i="5" s="1"/>
  <c r="E35" i="5"/>
  <c r="F34" i="5" s="1"/>
  <c r="M23" i="5"/>
  <c r="M20" i="5"/>
  <c r="H70" i="5" l="1"/>
  <c r="J70" i="5"/>
  <c r="J69" i="5" s="1"/>
  <c r="J168" i="5"/>
  <c r="V30" i="7"/>
  <c r="H55" i="5"/>
  <c r="H42" i="5"/>
  <c r="V26" i="7"/>
  <c r="I56" i="5"/>
  <c r="I55" i="5" s="1"/>
  <c r="V25" i="7"/>
  <c r="I42" i="5"/>
  <c r="I41" i="5" s="1"/>
  <c r="K42" i="5"/>
  <c r="K41" i="5" s="1"/>
  <c r="K19" i="5"/>
  <c r="K18" i="5" s="1"/>
  <c r="J42" i="5"/>
  <c r="J41" i="5" s="1"/>
  <c r="V21" i="7"/>
  <c r="J19" i="5"/>
  <c r="J18" i="5" s="1"/>
  <c r="V23" i="7"/>
  <c r="V22" i="7"/>
  <c r="I19" i="5"/>
  <c r="H19" i="5"/>
  <c r="H18" i="5" s="1"/>
  <c r="H31" i="5"/>
  <c r="M27" i="5"/>
  <c r="H32" i="5"/>
  <c r="O18" i="5"/>
  <c r="H34" i="5"/>
  <c r="H33" i="5"/>
  <c r="F33" i="5"/>
  <c r="F31" i="5"/>
  <c r="P27" i="5" s="1"/>
  <c r="F32" i="5"/>
  <c r="F35" i="5"/>
  <c r="F46" i="6"/>
  <c r="E46" i="6"/>
  <c r="W31" i="7" l="1"/>
  <c r="R19" i="5" s="1"/>
  <c r="R18" i="5" s="1"/>
  <c r="R17" i="5" s="1"/>
  <c r="R28" i="5" s="1"/>
  <c r="O42" i="5"/>
  <c r="O51" i="5" s="1"/>
  <c r="L70" i="5"/>
  <c r="H69" i="5"/>
  <c r="V31" i="7"/>
  <c r="L42" i="5"/>
  <c r="H41" i="5"/>
  <c r="L55" i="5"/>
  <c r="L56" i="5"/>
  <c r="M70" i="5"/>
  <c r="L168" i="5"/>
  <c r="J167" i="5"/>
  <c r="L19" i="5"/>
  <c r="P19" i="5" s="1"/>
  <c r="I18" i="5"/>
  <c r="W18" i="7"/>
  <c r="V19" i="5" s="1"/>
  <c r="V18" i="5" s="1"/>
  <c r="V17" i="5" s="1"/>
  <c r="V28" i="5" s="1"/>
  <c r="M21" i="5"/>
  <c r="O22" i="5"/>
  <c r="M26" i="5"/>
  <c r="M22" i="5"/>
  <c r="E28" i="5"/>
  <c r="H35" i="5"/>
  <c r="I32" i="5" s="1"/>
  <c r="L69" i="5" l="1"/>
  <c r="M69" i="5"/>
  <c r="M56" i="5"/>
  <c r="L167" i="5"/>
  <c r="M55" i="5"/>
  <c r="M168" i="5"/>
  <c r="L41" i="5"/>
  <c r="M42" i="5"/>
  <c r="F48" i="5"/>
  <c r="F49" i="5"/>
  <c r="F163" i="5"/>
  <c r="F157" i="5"/>
  <c r="F155" i="5"/>
  <c r="F143" i="5"/>
  <c r="F129" i="5"/>
  <c r="F115" i="5"/>
  <c r="F105" i="5"/>
  <c r="F86" i="5"/>
  <c r="F82" i="5"/>
  <c r="F42" i="5"/>
  <c r="F50" i="5"/>
  <c r="F175" i="5"/>
  <c r="F173" i="5"/>
  <c r="F146" i="5"/>
  <c r="F113" i="5"/>
  <c r="F110" i="5"/>
  <c r="F101" i="5"/>
  <c r="F64" i="5"/>
  <c r="F59" i="5"/>
  <c r="F57" i="5"/>
  <c r="F43" i="5"/>
  <c r="F51" i="5"/>
  <c r="F140" i="5"/>
  <c r="F117" i="5"/>
  <c r="F44" i="5"/>
  <c r="F40" i="5"/>
  <c r="F177" i="5"/>
  <c r="F168" i="5"/>
  <c r="F162" i="5"/>
  <c r="F154" i="5"/>
  <c r="F128" i="5"/>
  <c r="F97" i="5"/>
  <c r="F45" i="5"/>
  <c r="F171" i="5"/>
  <c r="F60" i="5"/>
  <c r="F114" i="5"/>
  <c r="F75" i="5"/>
  <c r="F63" i="5"/>
  <c r="F61" i="5"/>
  <c r="F46" i="5"/>
  <c r="F172" i="5"/>
  <c r="F159" i="5"/>
  <c r="F147" i="5"/>
  <c r="F138" i="5"/>
  <c r="F90" i="5"/>
  <c r="F47" i="5"/>
  <c r="F167" i="5"/>
  <c r="F132" i="5"/>
  <c r="F65" i="5"/>
  <c r="F169" i="5"/>
  <c r="F144" i="5"/>
  <c r="F41" i="5"/>
  <c r="F120" i="5"/>
  <c r="F124" i="5"/>
  <c r="F153" i="5"/>
  <c r="F83" i="5"/>
  <c r="F135" i="5"/>
  <c r="F89" i="5"/>
  <c r="F79" i="5"/>
  <c r="F112" i="5"/>
  <c r="F116" i="5"/>
  <c r="F91" i="5"/>
  <c r="F141" i="5"/>
  <c r="F126" i="5"/>
  <c r="F99" i="5"/>
  <c r="F70" i="5"/>
  <c r="F58" i="5"/>
  <c r="F76" i="5"/>
  <c r="F62" i="5"/>
  <c r="F69" i="5"/>
  <c r="F152" i="5"/>
  <c r="F149" i="5"/>
  <c r="F96" i="5"/>
  <c r="F88" i="5"/>
  <c r="F118" i="5"/>
  <c r="F174" i="5"/>
  <c r="F160" i="5"/>
  <c r="F131" i="5"/>
  <c r="F104" i="5"/>
  <c r="F106" i="5"/>
  <c r="F148" i="5"/>
  <c r="F77" i="5"/>
  <c r="F125" i="5"/>
  <c r="F56" i="5"/>
  <c r="F145" i="5"/>
  <c r="F130" i="5"/>
  <c r="F103" i="5"/>
  <c r="F93" i="5"/>
  <c r="F74" i="5"/>
  <c r="F158" i="5"/>
  <c r="F133" i="5"/>
  <c r="F134" i="5"/>
  <c r="F71" i="5"/>
  <c r="F161" i="5"/>
  <c r="F121" i="5"/>
  <c r="F73" i="5"/>
  <c r="F87" i="5"/>
  <c r="F107" i="5"/>
  <c r="F84" i="5"/>
  <c r="F78" i="5"/>
  <c r="F111" i="5"/>
  <c r="F142" i="5"/>
  <c r="F119" i="5"/>
  <c r="F166" i="5"/>
  <c r="F156" i="5"/>
  <c r="F100" i="5"/>
  <c r="F98" i="5"/>
  <c r="F92" i="5"/>
  <c r="F72" i="5"/>
  <c r="F68" i="5"/>
  <c r="F55" i="5"/>
  <c r="F139" i="5"/>
  <c r="F176" i="5"/>
  <c r="F170" i="5"/>
  <c r="F127" i="5"/>
  <c r="F102" i="5"/>
  <c r="F85" i="5"/>
  <c r="F54" i="5"/>
  <c r="F24" i="5"/>
  <c r="F25" i="5"/>
  <c r="F22" i="5"/>
  <c r="F17" i="5"/>
  <c r="F21" i="5"/>
  <c r="F19" i="5"/>
  <c r="F20" i="5"/>
  <c r="F23" i="5"/>
  <c r="F26" i="5"/>
  <c r="F28" i="5"/>
  <c r="F18" i="5"/>
  <c r="F27" i="5"/>
  <c r="M19" i="5"/>
  <c r="I35" i="5"/>
  <c r="I33" i="5"/>
  <c r="I34" i="5"/>
  <c r="I31" i="5"/>
  <c r="L18" i="5"/>
  <c r="P18" i="5" l="1"/>
  <c r="U18" i="5"/>
  <c r="M65" i="5"/>
  <c r="M54" i="5"/>
  <c r="M41" i="5"/>
  <c r="M79" i="5"/>
  <c r="M167" i="5"/>
  <c r="M68" i="5"/>
  <c r="M18" i="5"/>
  <c r="T18" i="5" l="1"/>
  <c r="T20" i="5" s="1"/>
  <c r="U20" i="5" s="1"/>
  <c r="AB21" i="5"/>
  <c r="Z28" i="5"/>
  <c r="U27" i="5" s="1"/>
  <c r="M166" i="5"/>
  <c r="M177" i="5"/>
  <c r="T19" i="5" l="1"/>
  <c r="U19" i="5" s="1"/>
  <c r="T27" i="5"/>
  <c r="AB22" i="5"/>
  <c r="O17" i="5" l="1"/>
  <c r="O28" i="5" l="1"/>
  <c r="M45" i="5" l="1"/>
  <c r="M143" i="5"/>
  <c r="M129" i="5"/>
  <c r="M87" i="5"/>
  <c r="M157" i="5"/>
  <c r="M115" i="5"/>
  <c r="H48" i="5"/>
  <c r="H45" i="5" s="1"/>
  <c r="H51" i="5" l="1"/>
  <c r="K48" i="5"/>
  <c r="K45" i="5" s="1"/>
  <c r="K51" i="5" s="1"/>
  <c r="J48" i="5"/>
  <c r="J45" i="5" s="1"/>
  <c r="J51" i="5" s="1"/>
  <c r="I48" i="5"/>
  <c r="L48" i="5" s="1"/>
  <c r="I45" i="5" l="1"/>
  <c r="L45" i="5" s="1"/>
  <c r="I51" i="5" l="1"/>
  <c r="L51" i="5" s="1"/>
  <c r="M51" i="5" s="1"/>
  <c r="J104" i="5"/>
  <c r="J101" i="5" s="1"/>
  <c r="J107" i="5" s="1"/>
  <c r="J118" i="5"/>
  <c r="J115" i="5"/>
  <c r="J121" i="5" s="1"/>
  <c r="J160" i="5"/>
  <c r="J157" i="5" s="1"/>
  <c r="J163" i="5" s="1"/>
  <c r="I174" i="5"/>
  <c r="I171" i="5" s="1"/>
  <c r="I177" i="5" s="1"/>
  <c r="K160" i="5"/>
  <c r="K157" i="5" s="1"/>
  <c r="K163" i="5" s="1"/>
  <c r="H118" i="5"/>
  <c r="H115" i="5" s="1"/>
  <c r="I62" i="5"/>
  <c r="I59" i="5" s="1"/>
  <c r="I65" i="5" s="1"/>
  <c r="H132" i="5"/>
  <c r="K174" i="5"/>
  <c r="K171" i="5" s="1"/>
  <c r="K177" i="5" s="1"/>
  <c r="I146" i="5"/>
  <c r="I143" i="5" s="1"/>
  <c r="I149" i="5" s="1"/>
  <c r="N31" i="25"/>
  <c r="I25" i="5" s="1"/>
  <c r="I22" i="5" s="1"/>
  <c r="I17" i="5" s="1"/>
  <c r="I28" i="5" s="1"/>
  <c r="J174" i="5"/>
  <c r="J171" i="5" s="1"/>
  <c r="J177" i="5" s="1"/>
  <c r="I104" i="5"/>
  <c r="I101" i="5" s="1"/>
  <c r="I107" i="5" s="1"/>
  <c r="H62" i="5"/>
  <c r="K146" i="5"/>
  <c r="K143" i="5" s="1"/>
  <c r="K149" i="5" s="1"/>
  <c r="K132" i="5"/>
  <c r="K129" i="5" s="1"/>
  <c r="K135" i="5" s="1"/>
  <c r="I118" i="5"/>
  <c r="I115" i="5" s="1"/>
  <c r="I121" i="5" s="1"/>
  <c r="I160" i="5"/>
  <c r="I157" i="5"/>
  <c r="I163" i="5" s="1"/>
  <c r="P31" i="25"/>
  <c r="K25" i="5" s="1"/>
  <c r="K22" i="5" s="1"/>
  <c r="K17" i="5" s="1"/>
  <c r="K28" i="5" s="1"/>
  <c r="H76" i="5"/>
  <c r="H73" i="5" s="1"/>
  <c r="I90" i="5"/>
  <c r="I87" i="5" s="1"/>
  <c r="I93" i="5" s="1"/>
  <c r="K104" i="5"/>
  <c r="K101" i="5" s="1"/>
  <c r="K107" i="5" s="1"/>
  <c r="K90" i="5"/>
  <c r="K87" i="5" s="1"/>
  <c r="K93" i="5" s="1"/>
  <c r="J76" i="5"/>
  <c r="J73" i="5" s="1"/>
  <c r="J79" i="5" s="1"/>
  <c r="O31" i="25"/>
  <c r="J25" i="5" s="1"/>
  <c r="J22" i="5" s="1"/>
  <c r="J17" i="5" s="1"/>
  <c r="J28" i="5" s="1"/>
  <c r="K62" i="5"/>
  <c r="K59" i="5" s="1"/>
  <c r="K65" i="5" s="1"/>
  <c r="H146" i="5"/>
  <c r="H143" i="5" s="1"/>
  <c r="H104" i="5"/>
  <c r="H90" i="5"/>
  <c r="J146" i="5"/>
  <c r="J143" i="5" s="1"/>
  <c r="J149" i="5" s="1"/>
  <c r="K118" i="5"/>
  <c r="K115" i="5" s="1"/>
  <c r="K121" i="5" s="1"/>
  <c r="M31" i="25"/>
  <c r="H25" i="5" s="1"/>
  <c r="H22" i="5" s="1"/>
  <c r="J62" i="5"/>
  <c r="J59" i="5" s="1"/>
  <c r="J65" i="5" s="1"/>
  <c r="I76" i="5"/>
  <c r="I73" i="5" s="1"/>
  <c r="I79" i="5" s="1"/>
  <c r="J90" i="5"/>
  <c r="J87" i="5" s="1"/>
  <c r="J93" i="5" s="1"/>
  <c r="I132" i="5"/>
  <c r="I129" i="5" s="1"/>
  <c r="I135" i="5" s="1"/>
  <c r="K76" i="5"/>
  <c r="K73" i="5" s="1"/>
  <c r="K79" i="5" s="1"/>
  <c r="H174" i="5"/>
  <c r="H171" i="5" s="1"/>
  <c r="J132" i="5"/>
  <c r="J129" i="5" s="1"/>
  <c r="J135" i="5" s="1"/>
  <c r="H160" i="5"/>
  <c r="L160" i="5" l="1"/>
  <c r="L104" i="5"/>
  <c r="L40" i="5"/>
  <c r="L90" i="5"/>
  <c r="L76" i="5"/>
  <c r="L62" i="5"/>
  <c r="L132" i="5"/>
  <c r="L171" i="5"/>
  <c r="L22" i="5"/>
  <c r="H17" i="5"/>
  <c r="H28" i="5" s="1"/>
  <c r="L143" i="5"/>
  <c r="L115" i="5"/>
  <c r="L73" i="5"/>
  <c r="L68" i="5"/>
  <c r="P79" i="5" s="1"/>
  <c r="H157" i="5"/>
  <c r="H101" i="5"/>
  <c r="H59" i="5"/>
  <c r="L174" i="5"/>
  <c r="L146" i="5"/>
  <c r="H87" i="5"/>
  <c r="H79" i="5"/>
  <c r="L79" i="5" s="1"/>
  <c r="L25" i="5"/>
  <c r="H129" i="5"/>
  <c r="L118" i="5"/>
  <c r="P51" i="5" l="1"/>
  <c r="M40" i="5"/>
  <c r="L110" i="5"/>
  <c r="P121" i="5" s="1"/>
  <c r="H121" i="5"/>
  <c r="L121" i="5" s="1"/>
  <c r="H149" i="5"/>
  <c r="L149" i="5" s="1"/>
  <c r="L138" i="5"/>
  <c r="P149" i="5" s="1"/>
  <c r="L101" i="5"/>
  <c r="L17" i="5"/>
  <c r="U22" i="5"/>
  <c r="U17" i="5" s="1"/>
  <c r="L87" i="5"/>
  <c r="L129" i="5"/>
  <c r="T25" i="5"/>
  <c r="L157" i="5"/>
  <c r="L59" i="5"/>
  <c r="L166" i="5"/>
  <c r="P177" i="5" s="1"/>
  <c r="H177" i="5"/>
  <c r="L177" i="5" s="1"/>
  <c r="T22" i="5" l="1"/>
  <c r="T26" i="5" s="1"/>
  <c r="U26" i="5" s="1"/>
  <c r="L96" i="5"/>
  <c r="P107" i="5" s="1"/>
  <c r="H107" i="5"/>
  <c r="L107" i="5" s="1"/>
  <c r="H163" i="5"/>
  <c r="L163" i="5" s="1"/>
  <c r="L152" i="5"/>
  <c r="P163" i="5" s="1"/>
  <c r="M17" i="5"/>
  <c r="P17" i="5"/>
  <c r="L28" i="5"/>
  <c r="L124" i="5"/>
  <c r="P135" i="5" s="1"/>
  <c r="H135" i="5"/>
  <c r="L135" i="5" s="1"/>
  <c r="L82" i="5"/>
  <c r="P93" i="5" s="1"/>
  <c r="H93" i="5"/>
  <c r="L93" i="5" s="1"/>
  <c r="L54" i="5"/>
  <c r="P65" i="5" s="1"/>
  <c r="H65" i="5"/>
  <c r="L65" i="5" s="1"/>
  <c r="U28" i="5"/>
  <c r="AB20" i="5"/>
  <c r="T17" i="5" l="1"/>
  <c r="T28" i="5" s="1"/>
  <c r="Z33" i="5"/>
  <c r="Z31" i="5"/>
  <c r="M28" i="5"/>
  <c r="P28" i="5"/>
  <c r="R31" i="5" l="1"/>
  <c r="T31" i="5" s="1"/>
  <c r="R32" i="5" l="1"/>
  <c r="R35" i="5" s="1"/>
  <c r="S33" i="5" s="1"/>
  <c r="S35" i="5" l="1"/>
  <c r="S34" i="5"/>
  <c r="S32" i="5"/>
  <c r="S31" i="5"/>
</calcChain>
</file>

<file path=xl/comments1.xml><?xml version="1.0" encoding="utf-8"?>
<comments xmlns="http://schemas.openxmlformats.org/spreadsheetml/2006/main">
  <authors>
    <author>KILGA, Stefan</author>
    <author>KILGA Stefan &lt;BMEIA/VIII.3&gt;</author>
  </authors>
  <commentList>
    <comment ref="C13" authorId="0" shapeId="0">
      <text>
        <r>
          <rPr>
            <b/>
            <sz val="9"/>
            <color indexed="81"/>
            <rFont val="Segoe UI"/>
            <family val="2"/>
          </rPr>
          <t xml:space="preserve">Damit ist der letzte Berichtstag gemeint, </t>
        </r>
        <r>
          <rPr>
            <b/>
            <u/>
            <sz val="9"/>
            <color indexed="81"/>
            <rFont val="Segoe UI"/>
            <family val="2"/>
          </rPr>
          <t>nicht</t>
        </r>
        <r>
          <rPr>
            <b/>
            <sz val="9"/>
            <color indexed="81"/>
            <rFont val="Segoe UI"/>
            <family val="2"/>
          </rPr>
          <t xml:space="preserve"> das Datum, zu dem der Bericht zu liefern ist.</t>
        </r>
      </text>
    </comment>
    <comment ref="C16" authorId="0" shapeId="0">
      <text>
        <r>
          <rPr>
            <b/>
            <sz val="9"/>
            <color indexed="81"/>
            <rFont val="Segoe UI"/>
            <family val="2"/>
          </rPr>
          <t>Wie Sie diesen Hinweis deaktivieren, steht in der "Anleitung zur Abrechnungsvorlage 2022/23".</t>
        </r>
      </text>
    </comment>
    <comment ref="F31" authorId="1" shapeId="0">
      <text>
        <r>
          <rPr>
            <b/>
            <sz val="9"/>
            <color indexed="81"/>
            <rFont val="Segoe UI"/>
            <family val="2"/>
          </rPr>
          <t>Ist diese Zelle rot eingefärbt, stimmen die Gesamtausgaben und die Gesamteinnahmen nicht überein.</t>
        </r>
      </text>
    </comment>
    <comment ref="F38" authorId="1" shapeId="0">
      <text>
        <r>
          <rPr>
            <b/>
            <sz val="9"/>
            <color indexed="81"/>
            <rFont val="Segoe UI"/>
            <family val="2"/>
          </rPr>
          <t>Ist diese Zelle rot eingefärbt, stimmen die Gesamtausgaben und die Gesamteinnahmen nicht überein.</t>
        </r>
      </text>
    </comment>
    <comment ref="N43" authorId="0" shapeId="0">
      <text>
        <r>
          <rPr>
            <b/>
            <sz val="9"/>
            <color indexed="81"/>
            <rFont val="Segoe UI"/>
            <family val="2"/>
          </rPr>
          <t>Der Aufzählungsbuchstabe ist im angrenzenden Feld einzugeben (a bis e):
a) Fixer Prozentsatz an den direkten anerkannten Gesamtkosten
b) Fixer Prozentsatz an den direkten anerkannten Personalkosten
c) Wie abgerechnet - so war es bisher
d) budgetierter Prozentsatz an den direkten anerkannten Gesamtkosten
e) budgetierter Prozentsatz an den direkten anerkannten Personalkosten</t>
        </r>
      </text>
    </comment>
    <comment ref="N44" authorId="0" shapeId="0">
      <text>
        <r>
          <rPr>
            <b/>
            <sz val="9"/>
            <color indexed="81"/>
            <rFont val="Segoe UI"/>
            <family val="2"/>
          </rPr>
          <t>Bei Option "a" und "b" ist hier noch der Prozentsatz als ganze Zahl (1-100) einzutragen.
Z.B. 5 entspricht 5%</t>
        </r>
      </text>
    </comment>
    <comment ref="N45" authorId="0" shapeId="0">
      <text>
        <r>
          <rPr>
            <b/>
            <sz val="9"/>
            <color indexed="81"/>
            <rFont val="Segoe UI"/>
            <family val="2"/>
          </rPr>
          <t>Wird die Abrechnung geprüft, ist hier "ja" einzutragen.</t>
        </r>
      </text>
    </comment>
  </commentList>
</comments>
</file>

<file path=xl/comments10.xml><?xml version="1.0" encoding="utf-8"?>
<comments xmlns="http://schemas.openxmlformats.org/spreadsheetml/2006/main">
  <authors>
    <author>funmasta</author>
    <author>KILGA, Stefan</author>
  </authors>
  <commentList>
    <comment ref="E7" authorId="0" shapeId="0">
      <text>
        <r>
          <rPr>
            <b/>
            <sz val="9"/>
            <color indexed="81"/>
            <rFont val="Segoe UI"/>
            <family val="2"/>
          </rPr>
          <t>Geben Sie an, welchem Abrechnungszeitraum der Beleg zugeordnet wird:
1. ZWA (A)
2. ZWA (B)
3. ZWA (C)
Endbericht (D)</t>
        </r>
      </text>
    </comment>
    <comment ref="F7" authorId="0" shapeId="0">
      <text>
        <r>
          <rPr>
            <b/>
            <sz val="9"/>
            <color indexed="81"/>
            <rFont val="Segoe UI"/>
            <family val="2"/>
          </rPr>
          <t>Geben Sie an, welcher Maßnahme die Kosten zugeordnet werden (1-10)</t>
        </r>
      </text>
    </comment>
    <comment ref="K7" authorId="1" shapeId="0">
      <text>
        <r>
          <rPr>
            <b/>
            <sz val="9"/>
            <color indexed="81"/>
            <rFont val="Segoe UI"/>
            <family val="2"/>
          </rPr>
          <t>Vergleichsangebote sind vorzulegen, wenn der jeweils gültige Schwellenwert überschritten wird. Bei mehreren Belegen von einem Dienstleister sind diese über den Förderzeitraum zu addieren um festzustellen, ob Vergleichsangebote vorgelegt werden müssen.</t>
        </r>
      </text>
    </comment>
    <comment ref="L7" authorId="1" shapeId="0">
      <text>
        <r>
          <rPr>
            <b/>
            <sz val="9"/>
            <color indexed="81"/>
            <rFont val="Segoe UI"/>
            <family val="2"/>
          </rPr>
          <t>Diese Spalte dokumentiert lediglich, welche Belege Sie in Papierform im Original dem BKA zur Prüfung vorlegen. Liegt ein Beleg der Abrechnung bei, wäre ein "j" einzutragen, das Feld wird sich grün färben. Wird der Beleg nicht vorgelegt, wird ein "n" eingetragen und das Feld wird rot werden.
Sollte ein Beleg nicht eingereicht werden, kann ihn der Prüfer wenn nötig nachfordern. Werden nicht alle Belege eingereicht, ist es üblich, dass eine geringe Anzahl an bestimmten nicht eingereichten Belegen auch ohne Anlassfall angefordert wird.</t>
        </r>
        <r>
          <rPr>
            <sz val="9"/>
            <color indexed="81"/>
            <rFont val="Segoe UI"/>
            <family val="2"/>
          </rPr>
          <t xml:space="preserve">
</t>
        </r>
      </text>
    </comment>
  </commentList>
</comments>
</file>

<file path=xl/comments11.xml><?xml version="1.0" encoding="utf-8"?>
<comments xmlns="http://schemas.openxmlformats.org/spreadsheetml/2006/main">
  <authors>
    <author>funmasta</author>
    <author>KILGA, Stefan</author>
  </authors>
  <commentList>
    <comment ref="E7" authorId="0" shapeId="0">
      <text>
        <r>
          <rPr>
            <b/>
            <sz val="9"/>
            <color indexed="81"/>
            <rFont val="Segoe UI"/>
            <family val="2"/>
          </rPr>
          <t>Geben Sie an, welchem Abrechnungszeitraum der Beleg zugeordnet wird:
1. ZWA (A)
2. ZWA (B)
3. ZWA (C)
Endbericht (D)</t>
        </r>
      </text>
    </comment>
    <comment ref="F7" authorId="0" shapeId="0">
      <text>
        <r>
          <rPr>
            <b/>
            <sz val="9"/>
            <color indexed="81"/>
            <rFont val="Segoe UI"/>
            <family val="2"/>
          </rPr>
          <t>Geben Sie an, welcher Maßnahme die Kosten zugeordnet werden (1-10)</t>
        </r>
      </text>
    </comment>
    <comment ref="K7" authorId="1" shapeId="0">
      <text>
        <r>
          <rPr>
            <b/>
            <sz val="9"/>
            <color indexed="81"/>
            <rFont val="Segoe UI"/>
            <family val="2"/>
          </rPr>
          <t>Vergleichsangebote sind vorzulegen, wenn der jeweils gültige Schwellenwert überschritten wird und es sich nicht um Personalkosten handelt.</t>
        </r>
      </text>
    </comment>
    <comment ref="L7" authorId="1" shapeId="0">
      <text>
        <r>
          <rPr>
            <b/>
            <sz val="9"/>
            <color indexed="81"/>
            <rFont val="Segoe UI"/>
            <family val="2"/>
          </rPr>
          <t>Diese Spalte dokumentiert lediglich, welche Belege Sie in Papierform im Original dem BKA zur Prüfung vorlegen. Liegt ein Beleg der Abrechnung bei, wäre ein "j" einzutragen, das Feld wird sich grün färben. Wird der Beleg nicht vorgelegt, wird ein "n" eingetragen und das Feld wird rot werden.
Sollte ein Beleg nicht eingereicht werden, kann ihn der Prüfer wenn nötig nachfordern. Werden nicht alle Belege eingereicht, ist es üblich, dass eine geringe Anzahl an bestimmten nicht eingereichten Belegen auch ohne Anlassfall angefordert wird.</t>
        </r>
        <r>
          <rPr>
            <sz val="9"/>
            <color indexed="81"/>
            <rFont val="Segoe UI"/>
            <family val="2"/>
          </rPr>
          <t xml:space="preserve">
</t>
        </r>
      </text>
    </comment>
  </commentList>
</comments>
</file>

<file path=xl/comments2.xml><?xml version="1.0" encoding="utf-8"?>
<comments xmlns="http://schemas.openxmlformats.org/spreadsheetml/2006/main">
  <authors>
    <author>KILGA Stefan &lt;BMEIA/VIII.3&gt;</author>
    <author>KILGA, Stefan</author>
  </authors>
  <commentList>
    <comment ref="P16" authorId="0" shapeId="0">
      <text>
        <r>
          <rPr>
            <b/>
            <sz val="9"/>
            <color indexed="81"/>
            <rFont val="Segoe UI"/>
            <family val="2"/>
          </rPr>
          <t xml:space="preserve">Es sollten mindestens 120% der BKA-Fördersumme an Belegen im Original vorgelegt werden. 
Bei einer Förderung von mehr als 83% durch das BKA sollten alle Belege im Original vorgelegt werden.
</t>
        </r>
      </text>
    </comment>
    <comment ref="T16" authorId="0" shapeId="0">
      <text>
        <r>
          <rPr>
            <b/>
            <sz val="9"/>
            <color indexed="81"/>
            <rFont val="Segoe UI"/>
            <family val="2"/>
          </rPr>
          <t>Personalkosten, Reisekosten und Sachkosten dürfen um max. 20% überschritten werden. 
Die indirekten Kosten dürfen nicht mehr als 15% der Personalkosten ausmachen.</t>
        </r>
      </text>
    </comment>
    <comment ref="T30" authorId="1" shapeId="0">
      <text>
        <r>
          <rPr>
            <b/>
            <sz val="9"/>
            <color indexed="81"/>
            <rFont val="Segoe UI"/>
            <family val="2"/>
          </rPr>
          <t>Bitte berücksichtigen Sie, dass dieser Wert vor der Prüfung der Endabrechnung lediglich einen Richtwert darstellt.</t>
        </r>
      </text>
    </comment>
  </commentList>
</comments>
</file>

<file path=xl/comments3.xml><?xml version="1.0" encoding="utf-8"?>
<comments xmlns="http://schemas.openxmlformats.org/spreadsheetml/2006/main">
  <authors>
    <author>KILGA, Stefan</author>
  </authors>
  <commentList>
    <comment ref="C16" authorId="0" shapeId="0">
      <text>
        <r>
          <rPr>
            <b/>
            <sz val="9"/>
            <color indexed="81"/>
            <rFont val="Segoe UI"/>
            <family val="2"/>
          </rPr>
          <t>Die Belege der Projekteinnahmen sind zur Gänze der Endabrechnung beizulegen.</t>
        </r>
      </text>
    </comment>
    <comment ref="C31" authorId="0" shapeId="0">
      <text>
        <r>
          <rPr>
            <b/>
            <sz val="9"/>
            <color indexed="81"/>
            <rFont val="Segoe UI"/>
            <family val="2"/>
          </rPr>
          <t>Die Belege der Projekteinnahmen sind zur Gänze der Endabrechnung beizulegen.</t>
        </r>
      </text>
    </comment>
  </commentList>
</comments>
</file>

<file path=xl/comments4.xml><?xml version="1.0" encoding="utf-8"?>
<comments xmlns="http://schemas.openxmlformats.org/spreadsheetml/2006/main">
  <authors>
    <author>KILGA, Stefan</author>
    <author>funmasta</author>
  </authors>
  <commentList>
    <comment ref="O6" authorId="0" shapeId="0">
      <text>
        <r>
          <rPr>
            <b/>
            <sz val="10"/>
            <color indexed="81"/>
            <rFont val="Calibri"/>
            <family val="2"/>
            <scheme val="minor"/>
          </rPr>
          <t>Tragen Sie in diese 3 Spalten bitte nur ein "j" für ja oder ein "n" für nein ein. Ein "ja" oder "nein" kann nicht verarbeitet werden und führt zu einem falschen Ergebnis.</t>
        </r>
        <r>
          <rPr>
            <b/>
            <sz val="9"/>
            <color indexed="81"/>
            <rFont val="Segoe UI"/>
            <family val="2"/>
          </rPr>
          <t xml:space="preserve">
</t>
        </r>
      </text>
    </comment>
    <comment ref="E7" authorId="1" shapeId="0">
      <text>
        <r>
          <rPr>
            <b/>
            <sz val="9"/>
            <color indexed="81"/>
            <rFont val="Segoe UI"/>
            <family val="2"/>
          </rPr>
          <t>Geben Sie an, welcher Maßnahme die Kosten zugeordnet werden (1-10) sollen.</t>
        </r>
      </text>
    </comment>
    <comment ref="F7" authorId="0" shapeId="0">
      <text>
        <r>
          <rPr>
            <b/>
            <sz val="9"/>
            <color indexed="81"/>
            <rFont val="Segoe UI"/>
            <family val="2"/>
          </rPr>
          <t>Dieser Name sollte dem Namen am Lohnkonto entsprechen. Je Zeile ist nur ein Lohnkonto einzutragen (in der Regel ein Kalenderjahr).</t>
        </r>
      </text>
    </comment>
    <comment ref="H7" authorId="0" shapeId="0">
      <text>
        <r>
          <rPr>
            <b/>
            <sz val="9"/>
            <color indexed="81"/>
            <rFont val="Segoe UI"/>
            <family val="2"/>
          </rPr>
          <t>Es sind die Gesamtlohnkosten ohne Reisekosten und nicht förderbare Zulagen für die gesamte, am Lohnkonto abgebildete Periode anzugeben (max. 1 Kalenderjahr). Ein Mitarbeiter kann auch mehrere Zeilen in Anspruch nehmen.
Dieser Betrag kann nach einer weiteren Abrechnungsperiode angepasst werden, um ein Lohnkonto nicht zweimal eintragen zu müssen.</t>
        </r>
      </text>
    </comment>
    <comment ref="I7" authorId="0" shapeId="0">
      <text>
        <r>
          <rPr>
            <b/>
            <sz val="9"/>
            <color indexed="81"/>
            <rFont val="Segoe UI"/>
            <family val="2"/>
          </rPr>
          <t>Da sich das Lohnkonto in der Regel auf ein Kalenderjahr bezieht, sollten hier die Gesamtstunden, welche in diesem Kalenderjahr geleistet wurden, angeführt werden.
Diese Zahl kann nach einer weiteren Abrechnungsperiode angepasst werden, um ein Lohnkonto nicht zweimal vorlegen zu müssen.</t>
        </r>
      </text>
    </comment>
    <comment ref="J7" authorId="0" shapeId="0">
      <text>
        <r>
          <rPr>
            <b/>
            <sz val="9"/>
            <color indexed="81"/>
            <rFont val="Segoe UI"/>
            <family val="2"/>
          </rPr>
          <t>Hier tragen Sie die Stunden ein, die während Abrechnungszeitraum "A" (in der Regel bis zum Stichtag für den 1. Zwischenbericht) geleistet wurden.</t>
        </r>
      </text>
    </comment>
    <comment ref="K7" authorId="0" shapeId="0">
      <text>
        <r>
          <rPr>
            <b/>
            <sz val="9"/>
            <color indexed="81"/>
            <rFont val="Segoe UI"/>
            <family val="2"/>
          </rPr>
          <t>Hier tragen Sie die Stunden ein, die während Abrechnungszeitraum "B" (in der Regel bis zum Stichtag für den 2. Zwischenbericht) geleistet wurden.</t>
        </r>
      </text>
    </comment>
    <comment ref="L7" authorId="0" shapeId="0">
      <text>
        <r>
          <rPr>
            <b/>
            <sz val="9"/>
            <color indexed="81"/>
            <rFont val="Segoe UI"/>
            <family val="2"/>
          </rPr>
          <t>Hier tragen Sie die Stunden ein, die während Abrechnungszeitraum "C" (in der Regel bis zum Stichtag für den 3. Zwischenbericht) geleistet wurden.</t>
        </r>
      </text>
    </comment>
    <comment ref="M7" authorId="0" shapeId="0">
      <text>
        <r>
          <rPr>
            <b/>
            <sz val="9"/>
            <color indexed="81"/>
            <rFont val="Segoe UI"/>
            <family val="2"/>
          </rPr>
          <t>Hier tragen Sie die Stunden ein, die während Abrechnungszeitraum "D" (in der Regel bis zum Stichtag für den Endbericht) geleistet wurden.</t>
        </r>
      </text>
    </comment>
    <comment ref="N7" authorId="0" shapeId="0">
      <text>
        <r>
          <rPr>
            <b/>
            <sz val="9"/>
            <color indexed="81"/>
            <rFont val="Segoe UI"/>
            <family val="2"/>
          </rPr>
          <t>Sollte es noch Anmerkungen zur Berechnung geben, wären diese hier einzutragen. Liegt zwischen einer projektrelevanten Führungskraft und untergeordneten Mitarbeiter/innen ein Verwandtschaftsverhältnis vor, ist dies hier anzugeben.</t>
        </r>
      </text>
    </comment>
    <comment ref="O7" authorId="0" shapeId="0">
      <text>
        <r>
          <rPr>
            <b/>
            <sz val="9"/>
            <color indexed="81"/>
            <rFont val="Segoe UI"/>
            <family val="2"/>
          </rPr>
          <t>Diese Spalte dokumentiert lediglich, welche Belege Sie in Papierform im Original dem BKA zur Prüfung vorlegen. Liegt ein Beleg der Abrechnung bei, wäre ein "j" einzutragen, das Feld wird sich grün färben. Wird der Beleg nicht vorgelegt, wird ein "n" eingetragen und das Feld wird rot werden.
Sollte ein Beleg nicht eingereicht werden, kann ihn der Prüfer wenn nötig nachfordern. Werden nicht alle Belege eingereicht, ist es üblich, dass eine geringe Anzahl an bestimmten nicht eingereichten Belegen auch ohne Anlassfall angefordert wird.</t>
        </r>
        <r>
          <rPr>
            <sz val="9"/>
            <color indexed="81"/>
            <rFont val="Segoe UI"/>
            <family val="2"/>
          </rPr>
          <t xml:space="preserve">
</t>
        </r>
      </text>
    </comment>
  </commentList>
</comments>
</file>

<file path=xl/comments5.xml><?xml version="1.0" encoding="utf-8"?>
<comments xmlns="http://schemas.openxmlformats.org/spreadsheetml/2006/main">
  <authors>
    <author>KILGA, Stefan</author>
    <author>funmasta</author>
  </authors>
  <commentList>
    <comment ref="O6" authorId="0" shapeId="0">
      <text>
        <r>
          <rPr>
            <b/>
            <sz val="10"/>
            <color indexed="81"/>
            <rFont val="Calibri"/>
            <family val="2"/>
            <scheme val="minor"/>
          </rPr>
          <t>Tragen Sie in diese 3 Spalten bitte nur ein "j" für ja oder ein "n" für nein ein. Ein "ja" oder "nein" kann nicht verarbeitet werden und führt zu einem falschen Ergebnis.</t>
        </r>
        <r>
          <rPr>
            <sz val="9"/>
            <color indexed="81"/>
            <rFont val="Segoe UI"/>
            <family val="2"/>
          </rPr>
          <t xml:space="preserve">
</t>
        </r>
      </text>
    </comment>
    <comment ref="R6" authorId="0" shapeId="0">
      <text>
        <r>
          <rPr>
            <b/>
            <sz val="9"/>
            <color indexed="81"/>
            <rFont val="Segoe UI"/>
            <family val="2"/>
          </rPr>
          <t>Diese Werte werden automatisch berechnet, können im Fall einer abweichenden Berechnung überschrieben werden. Sollten Sie von der vorgegebenen Berechnung abweichen, begründen Sie das bitte in der Spalte "Anmerkung zur Berechnung".</t>
        </r>
        <r>
          <rPr>
            <sz val="9"/>
            <color indexed="81"/>
            <rFont val="Segoe UI"/>
            <family val="2"/>
          </rPr>
          <t xml:space="preserve">
</t>
        </r>
      </text>
    </comment>
    <comment ref="E7" authorId="1" shapeId="0">
      <text>
        <r>
          <rPr>
            <b/>
            <sz val="9"/>
            <color indexed="81"/>
            <rFont val="Segoe UI"/>
            <family val="2"/>
          </rPr>
          <t>Geben Sie an, welcher Maßnahme die Kosten zugeordnet werden (1-10) sollen.</t>
        </r>
      </text>
    </comment>
    <comment ref="F7" authorId="0" shapeId="0">
      <text>
        <r>
          <rPr>
            <b/>
            <sz val="9"/>
            <color indexed="81"/>
            <rFont val="Segoe UI"/>
            <family val="2"/>
          </rPr>
          <t>Dieser Name sollte dem Namen am Lohnkonto entsprechen. Je Zeile ist nur ein Lohnkonto einzutragen (in der Regel ein Kalenderjahr).</t>
        </r>
      </text>
    </comment>
    <comment ref="H7" authorId="0" shapeId="0">
      <text>
        <r>
          <rPr>
            <b/>
            <sz val="9"/>
            <color indexed="81"/>
            <rFont val="Segoe UI"/>
            <family val="2"/>
          </rPr>
          <t>Es sind die Gesamtlohnkosten ohne Reisekosten und nicht förderbare Zulagen für die gesamte, am Lohnkonto abgebildete Periode anzugeben (max. 1 Kalenderjahr).Ein Mitarbeiter kann auch mehrere Zeilen in Anspruch nehmen.
Dieser Betrag kann nach einer weiteren Abrechnungsperiode angepasst werden, um ein Lohnkonto nicht zweimal eintragen zu müssen.</t>
        </r>
      </text>
    </comment>
    <comment ref="I7" authorId="0" shapeId="0">
      <text>
        <r>
          <rPr>
            <b/>
            <sz val="9"/>
            <color indexed="81"/>
            <rFont val="Segoe UI"/>
            <family val="2"/>
          </rPr>
          <t>Da sich das Lohnkonto in der Regel auf ein Kalenderjahr bezieht, sollten hier die Gesamtstunden, welche in diesem Kalenderjahr geleistet wurden, angeführt werden.
Diese Zahl kann nach einer weiteren Abrechnungsperiode angepasst werden, um ein Lohnkonto nicht zweimal vorlegen zu müssen.</t>
        </r>
      </text>
    </comment>
    <comment ref="J7" authorId="0" shapeId="0">
      <text>
        <r>
          <rPr>
            <b/>
            <sz val="9"/>
            <color indexed="81"/>
            <rFont val="Segoe UI"/>
            <family val="2"/>
          </rPr>
          <t>Hier tragen Sie die Stunden ein, die während Abrechnungszeitraum "A" (in der Regel bis zum Stichtag für den 1. Zwischenbericht) geleistet wurden.</t>
        </r>
      </text>
    </comment>
    <comment ref="K7" authorId="0" shapeId="0">
      <text>
        <r>
          <rPr>
            <b/>
            <sz val="9"/>
            <color indexed="81"/>
            <rFont val="Segoe UI"/>
            <family val="2"/>
          </rPr>
          <t>Hier tragen Sie die Stunden ein, die während Abrechnungszeitraum "B" (in der Regel bis zum Stichtag für den 2. Zwischenbericht) geleistet wurden.</t>
        </r>
      </text>
    </comment>
    <comment ref="L7" authorId="0" shapeId="0">
      <text>
        <r>
          <rPr>
            <b/>
            <sz val="9"/>
            <color indexed="81"/>
            <rFont val="Segoe UI"/>
            <family val="2"/>
          </rPr>
          <t>Hier tragen Sie die Stunden ein, die während Abrechnungszeitraum "C" (in der Regel bis zum Stichtag für den 3. Zwischenbericht) geleistet wurden.</t>
        </r>
      </text>
    </comment>
    <comment ref="M7" authorId="0" shapeId="0">
      <text>
        <r>
          <rPr>
            <b/>
            <sz val="9"/>
            <color indexed="81"/>
            <rFont val="Segoe UI"/>
            <family val="2"/>
          </rPr>
          <t>Hier tragen Sie die Stunden ein, die während Abrechnungszeitraum "D" (in der Regel bis zum Stichtag für den Endbericht) geleistet wurden.</t>
        </r>
      </text>
    </comment>
    <comment ref="N7" authorId="0" shapeId="0">
      <text>
        <r>
          <rPr>
            <b/>
            <sz val="9"/>
            <color indexed="81"/>
            <rFont val="Segoe UI"/>
            <family val="2"/>
          </rPr>
          <t>Sollte es noch Anmerkungen zur Berechnung geben, wären diese hier einzutragen. Liegt zwischen einer projektrelevanten Führungskraft und untergeordneten Mitarbeiter/innen ein Verwandtschaftsverhältnis vor, ist dies hier anzugeben.</t>
        </r>
      </text>
    </comment>
    <comment ref="O7" authorId="0" shapeId="0">
      <text>
        <r>
          <rPr>
            <b/>
            <sz val="9"/>
            <color indexed="81"/>
            <rFont val="Segoe UI"/>
            <family val="2"/>
          </rPr>
          <t>Diese Spalte dokumentiert lediglich, welche Belege Sie in Papierform im Original dem BKA zur Prüfung vorlegen. Liegt ein Beleg der Abrechnung bei, wäre ein "j" einzutragen, das Feld wird sich grün färben. Wird der Beleg nicht vorgelegt, wird ein "n" eingetragen und das Feld wird rot werden.
Sollte ein Beleg nicht eingereicht werden, kann ihn der Prüfer wenn nötig nachfordern. Werden nicht alle Belege eingereicht, ist es üblich, dass eine geringe Anzahl an bestimmten nicht eingereichten Belegen auch ohne Anlassfall angefordert wird.</t>
        </r>
        <r>
          <rPr>
            <sz val="9"/>
            <color indexed="81"/>
            <rFont val="Segoe UI"/>
            <family val="2"/>
          </rPr>
          <t xml:space="preserve">
</t>
        </r>
      </text>
    </comment>
  </commentList>
</comments>
</file>

<file path=xl/comments6.xml><?xml version="1.0" encoding="utf-8"?>
<comments xmlns="http://schemas.openxmlformats.org/spreadsheetml/2006/main">
  <authors>
    <author>funmasta</author>
    <author>KILGA, Stefan</author>
  </authors>
  <commentList>
    <comment ref="E7" authorId="0" shapeId="0">
      <text>
        <r>
          <rPr>
            <b/>
            <sz val="9"/>
            <color indexed="81"/>
            <rFont val="Segoe UI"/>
            <family val="2"/>
          </rPr>
          <t>Geben Sie an, welchem Abrechnungszeitraum der Beleg zugeordnet wird:
1. ZWA (A)
2. ZWA (B)
3. ZWA (C)
Endbericht (D)</t>
        </r>
      </text>
    </comment>
    <comment ref="F7" authorId="0" shapeId="0">
      <text>
        <r>
          <rPr>
            <b/>
            <sz val="9"/>
            <color indexed="81"/>
            <rFont val="Segoe UI"/>
            <family val="2"/>
          </rPr>
          <t>Geben Sie an, welcher Maßnahme die Kosten zugeordnet werden (1-10)</t>
        </r>
      </text>
    </comment>
    <comment ref="L7" authorId="1" shapeId="0">
      <text>
        <r>
          <rPr>
            <b/>
            <sz val="9"/>
            <color indexed="81"/>
            <rFont val="Segoe UI"/>
            <family val="2"/>
          </rPr>
          <t>Diese Spalte dokumentiert lediglich, welche Belege Sie in Papierform im Original dem BKA zur Prüfung vorlegen. Liegt ein Beleg der Abrechnung bei, wäre ein "j" einzutragen, das Feld wird sich grün färben. Wird der Beleg nicht vorgelegt, wird ein "n" eingetragen und das Feld wird rot werden.
Sollte ein Beleg nicht eingereicht werden, kann ihn der Prüfer wenn nötig nachfordern. Werden nicht alle Belege eingereicht, ist es üblich, dass eine geringe Anzahl an bestimmten nicht eingereichten Belegen auch ohne Anlassfall angefordert wird.</t>
        </r>
        <r>
          <rPr>
            <sz val="9"/>
            <color indexed="81"/>
            <rFont val="Segoe UI"/>
            <family val="2"/>
          </rPr>
          <t xml:space="preserve">
</t>
        </r>
      </text>
    </comment>
  </commentList>
</comments>
</file>

<file path=xl/comments7.xml><?xml version="1.0" encoding="utf-8"?>
<comments xmlns="http://schemas.openxmlformats.org/spreadsheetml/2006/main">
  <authors>
    <author>funmasta</author>
    <author>KILGA, Stefan</author>
  </authors>
  <commentList>
    <comment ref="E7" authorId="0" shapeId="0">
      <text>
        <r>
          <rPr>
            <b/>
            <sz val="9"/>
            <color indexed="81"/>
            <rFont val="Segoe UI"/>
            <family val="2"/>
          </rPr>
          <t>Geben Sie an, welchem Abrechnungszeitraum der Beleg zugeordnet wird:
1. ZWA (A)
2. ZWA (B)
3. ZWA (C)
Endbericht (D)</t>
        </r>
      </text>
    </comment>
    <comment ref="F7" authorId="0" shapeId="0">
      <text>
        <r>
          <rPr>
            <b/>
            <sz val="9"/>
            <color indexed="81"/>
            <rFont val="Segoe UI"/>
            <family val="2"/>
          </rPr>
          <t>Geben Sie an, welcher Maßnahme die Kosten zugeordnet werden (1-10)</t>
        </r>
      </text>
    </comment>
    <comment ref="I7" authorId="1" shapeId="0">
      <text>
        <r>
          <rPr>
            <b/>
            <sz val="9"/>
            <color indexed="81"/>
            <rFont val="Segoe UI"/>
            <family val="2"/>
          </rPr>
          <t>Beschreiben Sie kurz, wofür die abgerechneten Räumlichkeiten genutzt werden.</t>
        </r>
      </text>
    </comment>
    <comment ref="L7" authorId="1" shapeId="0">
      <text>
        <r>
          <rPr>
            <b/>
            <sz val="9"/>
            <color indexed="81"/>
            <rFont val="Segoe UI"/>
            <family val="2"/>
          </rPr>
          <t>Diese Spalte dokumentiert lediglich, welche Belege Sie in Papierform im Original dem BKA zur Prüfung vorlegen. Liegt ein Beleg der Abrechnung bei, wäre ein "j" einzutragen, das Feld wird sich grün färben. Wird der Beleg nicht vorgelegt, wird ein "n" eingetragen und das Feld wird rot werden.
Sollte ein Beleg nicht eingereicht werden, kann ihn der Prüfer wenn nötig nachfordern. Werden nicht alle Belege eingereicht, ist es üblich, dass eine geringe Anzahl an bestimmten nicht eingereichten Belegen auch ohne Anlassfall angefordert wird.</t>
        </r>
        <r>
          <rPr>
            <sz val="9"/>
            <color indexed="81"/>
            <rFont val="Segoe UI"/>
            <family val="2"/>
          </rPr>
          <t xml:space="preserve">
</t>
        </r>
      </text>
    </comment>
  </commentList>
</comments>
</file>

<file path=xl/comments8.xml><?xml version="1.0" encoding="utf-8"?>
<comments xmlns="http://schemas.openxmlformats.org/spreadsheetml/2006/main">
  <authors>
    <author>funmasta</author>
    <author>KILGA, Stefan</author>
  </authors>
  <commentList>
    <comment ref="E7" authorId="0" shapeId="0">
      <text>
        <r>
          <rPr>
            <b/>
            <sz val="9"/>
            <color indexed="81"/>
            <rFont val="Segoe UI"/>
            <family val="2"/>
          </rPr>
          <t>Geben Sie an, welchem Abrechnungszeitraum der Beleg zugeordnet wird:
1. ZWA (A)
2. ZWA (B)
3. ZWA (C)
Endbericht (D)</t>
        </r>
      </text>
    </comment>
    <comment ref="F7" authorId="0" shapeId="0">
      <text>
        <r>
          <rPr>
            <b/>
            <sz val="9"/>
            <color indexed="81"/>
            <rFont val="Segoe UI"/>
            <family val="2"/>
          </rPr>
          <t>Geben Sie an, welcher Maßnahme die Kosten zugeordnet werden (1-10)</t>
        </r>
      </text>
    </comment>
    <comment ref="K7" authorId="1" shapeId="0">
      <text>
        <r>
          <rPr>
            <b/>
            <sz val="9"/>
            <color indexed="81"/>
            <rFont val="Segoe UI"/>
            <family val="2"/>
          </rPr>
          <t>Vergleichsangebote sind vorzulegen, wenn der jeweils gültige Schwellenwert überschritten wird.</t>
        </r>
      </text>
    </comment>
    <comment ref="L7" authorId="1" shapeId="0">
      <text>
        <r>
          <rPr>
            <b/>
            <sz val="9"/>
            <color indexed="81"/>
            <rFont val="Segoe UI"/>
            <family val="2"/>
          </rPr>
          <t>Diese Spalte dokumentiert lediglich, welche Belege Sie in Papierform im Original dem BKA zur Prüfung vorlegen. Liegt ein Beleg der Abrechnung bei, wäre ein "j" einzutragen, das Feld wird sich grün färben. Wird der Beleg nicht vorgelegt, wird ein "n" eingetragen und das Feld wird rot werden.
Sollte ein Beleg nicht eingereicht werden, kann ihn der Prüfer wenn nötig nachfordern. Werden nicht alle Belege eingereicht, ist es üblich, dass eine geringe Anzahl an bestimmten nicht eingereichten Belegen auch ohne Anlassfall angefordert wird.</t>
        </r>
        <r>
          <rPr>
            <sz val="9"/>
            <color indexed="81"/>
            <rFont val="Segoe UI"/>
            <family val="2"/>
          </rPr>
          <t xml:space="preserve">
</t>
        </r>
      </text>
    </comment>
  </commentList>
</comments>
</file>

<file path=xl/comments9.xml><?xml version="1.0" encoding="utf-8"?>
<comments xmlns="http://schemas.openxmlformats.org/spreadsheetml/2006/main">
  <authors>
    <author>funmasta</author>
    <author>KILGA, Stefan</author>
  </authors>
  <commentList>
    <comment ref="E7" authorId="0" shapeId="0">
      <text>
        <r>
          <rPr>
            <b/>
            <sz val="9"/>
            <color indexed="81"/>
            <rFont val="Segoe UI"/>
            <family val="2"/>
          </rPr>
          <t>Geben Sie an, welcher Maßnahme die Kosten zugeordnet werden (1-10)</t>
        </r>
      </text>
    </comment>
    <comment ref="K7" authorId="1" shapeId="0">
      <text>
        <r>
          <rPr>
            <b/>
            <sz val="9"/>
            <color indexed="81"/>
            <rFont val="Segoe UI"/>
            <family val="2"/>
          </rPr>
          <t>Vergleichsangebote sind vorzulegen, wenn der jeweils gültige Schwellenwert überschritten wird.</t>
        </r>
      </text>
    </comment>
    <comment ref="L7" authorId="1" shapeId="0">
      <text>
        <r>
          <rPr>
            <b/>
            <sz val="9"/>
            <color indexed="81"/>
            <rFont val="Segoe UI"/>
            <family val="2"/>
          </rPr>
          <t>Diese Spalte dokumentiert lediglich, welche Belege Sie in Papierform im Original dem BKA zur Prüfung vorlegen. Liegt ein Beleg der Abrechnung bei, wäre ein "j" einzutragen, das Feld wird sich grün färben. Wird der Beleg nicht vorgelegt, wird ein "n" eingetragen und das Feld wird rot werden.
Sollte ein Beleg nicht eingereicht werden, kann ihn der Prüfer wenn nötig nachfordern. Werden nicht alle Belege eingereicht, ist es üblich, dass eine geringe Anzahl an bestimmten nicht eingereichten Belegen auch ohne Anlassfall angefordert wird.</t>
        </r>
        <r>
          <rPr>
            <sz val="9"/>
            <color indexed="81"/>
            <rFont val="Segoe UI"/>
            <family val="2"/>
          </rPr>
          <t xml:space="preserve">
</t>
        </r>
      </text>
    </comment>
  </commentList>
</comments>
</file>

<file path=xl/sharedStrings.xml><?xml version="1.0" encoding="utf-8"?>
<sst xmlns="http://schemas.openxmlformats.org/spreadsheetml/2006/main" count="737" uniqueCount="215">
  <si>
    <t>a)</t>
  </si>
  <si>
    <t>b)</t>
  </si>
  <si>
    <t>c)</t>
  </si>
  <si>
    <t>Projekttitel</t>
  </si>
  <si>
    <t>Vertragsnummer</t>
  </si>
  <si>
    <t>Projekteinnahmen</t>
  </si>
  <si>
    <t>a) Personalkosten</t>
  </si>
  <si>
    <t>Belegdatum</t>
  </si>
  <si>
    <t>Verwendungszweck</t>
  </si>
  <si>
    <t>Lfd. Nr.</t>
  </si>
  <si>
    <t>geprüfte, aberkannte Kosten ADA</t>
  </si>
  <si>
    <t>- b) prozentueller Anteil der Eigenmittel lt. Vertrag</t>
  </si>
  <si>
    <t>- c) Beitrag anderer Organisationen</t>
  </si>
  <si>
    <t>- d) Einnahmen des Projekts</t>
  </si>
  <si>
    <t>Höhe der tatsächlichen Finanzierung</t>
  </si>
  <si>
    <t>b) Reisekosten</t>
  </si>
  <si>
    <t>c) Sachkosten</t>
  </si>
  <si>
    <t>d) Projekterlöse (Kursbeiträge, Rückvergütungen etc.)</t>
  </si>
  <si>
    <t>Anerkannte Gesamtausgaben</t>
  </si>
  <si>
    <t>Anerkannte Gesamtausgaben*</t>
  </si>
  <si>
    <t>EINNAHMEN GESAMT</t>
  </si>
  <si>
    <t>c) Beitrag anderer Organisationen</t>
  </si>
  <si>
    <t>%-Anteil</t>
  </si>
  <si>
    <t>Budget
lt. Vertrag</t>
  </si>
  <si>
    <t>AUSGABEN GESAMT</t>
  </si>
  <si>
    <t>c.1) Immobilien</t>
  </si>
  <si>
    <t>a.1) Angestellte</t>
  </si>
  <si>
    <t>Direkte Kosten</t>
  </si>
  <si>
    <t>Projektausgaben</t>
  </si>
  <si>
    <t>Projektnummer</t>
  </si>
  <si>
    <t>Angaben zum Projekt</t>
  </si>
  <si>
    <t>GESAMTSUMME</t>
  </si>
  <si>
    <t>SUMME Projekterlöse</t>
  </si>
  <si>
    <t>SUMME Beitrag anderer Organisationen</t>
  </si>
  <si>
    <t>c) Beitrag anderer Organisationen (inkl. anderer öffentlicher Förderstellen)</t>
  </si>
  <si>
    <t>SUMME Eigenmittel</t>
  </si>
  <si>
    <t>Betrag</t>
  </si>
  <si>
    <t>Abschreibungs-dauer in Jahren</t>
  </si>
  <si>
    <t>Anschaffungs-kosten</t>
  </si>
  <si>
    <t>Bezeichnung der Räumlichkeiten</t>
  </si>
  <si>
    <t>Begründung (bei Aberkennung)</t>
  </si>
  <si>
    <t>bereits erhalten</t>
  </si>
  <si>
    <t>Angaben zur Abrechnungsprüfung</t>
  </si>
  <si>
    <t>Budgetaus-schöpfung</t>
  </si>
  <si>
    <t>Finale Finanzierung</t>
  </si>
  <si>
    <t>Finaler Eigenmittelbeitrag</t>
  </si>
  <si>
    <t>Eigenmittel</t>
  </si>
  <si>
    <t>Anmerkungen zur Berechnung</t>
  </si>
  <si>
    <t>Kommentar ADA</t>
  </si>
  <si>
    <t>Indirekte Kosten</t>
  </si>
  <si>
    <t>Belege  vorgelegt i.H.v.</t>
  </si>
  <si>
    <t>Belege geprüft i.H.v.</t>
  </si>
  <si>
    <t>Beleg vorgelegt (j/n)</t>
  </si>
  <si>
    <t>Betrag (bei aliquotierten Beträgen als Formel)</t>
  </si>
  <si>
    <t>Betrag der Änderung der Aberkennung 
(+ entspricht Zuerkennung)</t>
  </si>
  <si>
    <t>Anmerkungen / Rückfragen</t>
  </si>
  <si>
    <t>Geprüft
(j wenn geprüft)</t>
  </si>
  <si>
    <t>Bitte um Stellung-nahme
(j wenn ja)</t>
  </si>
  <si>
    <t>Projekteinnahmen: Abrechnungsprüfung ADA</t>
  </si>
  <si>
    <t>Beleg geprüft
(j)</t>
  </si>
  <si>
    <t>Vorgelegt in %
(min.120% nötig)</t>
  </si>
  <si>
    <t>Zeitaufzei-chnungen vorgelegt (j/n)</t>
  </si>
  <si>
    <t>Vergleichs-angebote beigelegt (j/n)</t>
  </si>
  <si>
    <t>aberkannte Kosten auf Grund einer Überschreitung</t>
  </si>
  <si>
    <t>Höhe der letzten
Rate (+) oder Rückzahlung (-)</t>
  </si>
  <si>
    <t>a) Beitrag des BKA</t>
  </si>
  <si>
    <t xml:space="preserve"> Erhaltene 1. Rate BKA-Beitrag </t>
  </si>
  <si>
    <t>SUMME BKA</t>
  </si>
  <si>
    <t>Anerkannte Gesamtausgaben * prozentueller Anteil des BKA-Beitrags lt. Vertrag</t>
  </si>
  <si>
    <t>Beitrag des BKA (Kofinanzierung laut Vertrag)</t>
  </si>
  <si>
    <t>Tatsächlicher Gesamtbeitrag
(insgesamt zu erwartender Förderbetrag n. Endabrechnung)</t>
  </si>
  <si>
    <t>Tatsächlicher Gesamtbetrag
(insgesamt zu erwartende Projekterlöse)</t>
  </si>
  <si>
    <t>bereits erhalten
(ist bereits auf Ihrem Konto eingelangt)</t>
  </si>
  <si>
    <t>Prüfergebniszustellung z.Hd.:</t>
  </si>
  <si>
    <t>Adresse (PLZ Stadt):</t>
  </si>
  <si>
    <t>Adresse (Straße, Hausnr., Stiege, Tür):</t>
  </si>
  <si>
    <t>Prüfergebnis</t>
  </si>
  <si>
    <t>Beleg Nr.</t>
  </si>
  <si>
    <t>Projektträger/in</t>
  </si>
  <si>
    <t>a) Beitrag BKA</t>
  </si>
  <si>
    <r>
      <t xml:space="preserve">d) Projekterlöse
</t>
    </r>
    <r>
      <rPr>
        <sz val="8"/>
        <rFont val="Calibri"/>
        <family val="2"/>
        <scheme val="minor"/>
      </rPr>
      <t>(Kursbeiträge, Rückvergütungen etc.)</t>
    </r>
  </si>
  <si>
    <t xml:space="preserve">Funktion im Projekt </t>
  </si>
  <si>
    <t>Projektdauer in Monaten</t>
  </si>
  <si>
    <t xml:space="preserve">Anteil an Laufzeit </t>
  </si>
  <si>
    <t>Berichtszeitraum Beginn</t>
  </si>
  <si>
    <t>Berichtszeitraum Ende</t>
  </si>
  <si>
    <t>Laufzeit Beginn</t>
  </si>
  <si>
    <t>Laufzeit Ende</t>
  </si>
  <si>
    <t>Stellungnahme Fördernehmer/in 
(Bezug auf eine Anlage bitte explizit bennenen)</t>
  </si>
  <si>
    <t>Stellungnahme Fördernehmer/in
(Bezug auf eine Anlage bitte explizit bennenen)</t>
  </si>
  <si>
    <t>Von Fördernehmer/in zu befüllen</t>
  </si>
  <si>
    <t>Von Prüfer/in zu befüllen</t>
  </si>
  <si>
    <t>Begründung der Projektrelevanz /Anmerkungen</t>
  </si>
  <si>
    <t>Art der Kosten 
(Miete, Betriebskosten, etc.)</t>
  </si>
  <si>
    <t>Mietvertrag beiliegend
(j/n)</t>
  </si>
  <si>
    <t>Lfd. Nr.2</t>
  </si>
  <si>
    <t>Bitte fügen Sie zusätzlich benötigte Zeilen oberhalb dieser Zeile ein!</t>
  </si>
  <si>
    <t>ja/nein</t>
  </si>
  <si>
    <r>
      <t xml:space="preserve">b) Beitrag des Projektträgers und der Projektpartnerin oder des Projektpartners </t>
    </r>
    <r>
      <rPr>
        <sz val="8"/>
        <rFont val="Calibri"/>
        <family val="2"/>
        <scheme val="minor"/>
      </rPr>
      <t>(nur Eigenmittel, keine Eigenleistungen)</t>
    </r>
  </si>
  <si>
    <t>b) Beitrag des Projektträgers und der Projektpartnerin oder des Projektpartners (nur Eigenmittel, keine Eigenleistungen)</t>
  </si>
  <si>
    <t>Name der Mitarbeiterin oder des Mitarbeiters</t>
  </si>
  <si>
    <t>Name der Reisenden oder des Reisenden, sowie Rolle im Projekt</t>
  </si>
  <si>
    <t>Bezeichnung der Anschaffung</t>
  </si>
  <si>
    <t>a.2) Freie Dienstnehmende</t>
  </si>
  <si>
    <t>Von Fördernehmer/in für Zwischen- oder Endbericht zu befüllen</t>
  </si>
  <si>
    <t xml:space="preserve">Befüllt sich NUR BEI ENDBERICHT </t>
  </si>
  <si>
    <t>c.2) Sonstige projektspezifische Ausgaben</t>
  </si>
  <si>
    <t>c.4) Unteraufträge</t>
  </si>
  <si>
    <t>c.3) Anlagegüter</t>
  </si>
  <si>
    <t>1. Zwischenbericht</t>
  </si>
  <si>
    <t>2. Zwischenbericht</t>
  </si>
  <si>
    <t>3. Zwischenbericht</t>
  </si>
  <si>
    <t>Endbericht</t>
  </si>
  <si>
    <t>IST-Ausgaben Gesamt</t>
  </si>
  <si>
    <t>Abrechnungs-zeitraum</t>
  </si>
  <si>
    <t>Maß-nahme</t>
  </si>
  <si>
    <t>Maßnahme 8</t>
  </si>
  <si>
    <t>Maßnahme 1</t>
  </si>
  <si>
    <t>Maßnahme 2</t>
  </si>
  <si>
    <t>Maßnahme 3</t>
  </si>
  <si>
    <t>Maßnahme 4</t>
  </si>
  <si>
    <t>Maßnahme 5</t>
  </si>
  <si>
    <t>Maßnahme 6</t>
  </si>
  <si>
    <t>Maßnahme 7</t>
  </si>
  <si>
    <t>Maßnahme 9</t>
  </si>
  <si>
    <t>Maßnahme 10</t>
  </si>
  <si>
    <t>Name:</t>
  </si>
  <si>
    <t>E-Mail:</t>
  </si>
  <si>
    <t>Telefon:</t>
  </si>
  <si>
    <t>Kontakt für Rückfragen (mindestens 2 Personen)</t>
  </si>
  <si>
    <t>E-Mailadresse (Empfänger/in)</t>
  </si>
  <si>
    <t>E-Mailadresse (Postfach)</t>
  </si>
  <si>
    <t>Prüfergebniszustellung (nur für die Endabrechnung)</t>
  </si>
  <si>
    <t>NUR FÜR DEN ENDBERICHT zu befüllen</t>
  </si>
  <si>
    <t>ADA Geschäftszahl</t>
  </si>
  <si>
    <t>Prüferin/Prüfer</t>
  </si>
  <si>
    <t>Abschlussdatum der Prüfung</t>
  </si>
  <si>
    <t xml:space="preserve"> Erhaltene 2. Rate BKA-Beitrag </t>
  </si>
  <si>
    <t>Projektabrechnung - Nationale Integrationsförderung 2022/23</t>
  </si>
  <si>
    <t>großes Engagement ist spürbar</t>
  </si>
  <si>
    <t>1. Abrzr. ("A")</t>
  </si>
  <si>
    <t>3. Abrzr. ("C")</t>
  </si>
  <si>
    <t>2. Abrzr. ("B")</t>
  </si>
  <si>
    <t>4. Abrzr. ("D")</t>
  </si>
  <si>
    <t>Gesamt</t>
  </si>
  <si>
    <t>SUMME</t>
  </si>
  <si>
    <t>a.2.) Freie Dienstnehmende</t>
  </si>
  <si>
    <t>Zielort</t>
  </si>
  <si>
    <t>ENDBERICHT</t>
  </si>
  <si>
    <r>
      <t xml:space="preserve">d) Projekterlöse </t>
    </r>
    <r>
      <rPr>
        <sz val="8"/>
        <rFont val="Calibri"/>
        <family val="2"/>
        <scheme val="minor"/>
      </rPr>
      <t>(Kursbeiträge, Rückvergütungen etc.)</t>
    </r>
  </si>
  <si>
    <t>Projektausgaben lt. Finanzplan</t>
  </si>
  <si>
    <t>anerkannter Betrag nach Prüfung der Endabrechnung</t>
  </si>
  <si>
    <t>aberkannter Betrag nach Prüfung der Endabrechnung</t>
  </si>
  <si>
    <t>Von Fördernehmer/in auf Anfrage zu befüllen</t>
  </si>
  <si>
    <t>Dienstvertrag vorgelegt (j/n)</t>
  </si>
  <si>
    <t>Geschäftszahl</t>
  </si>
  <si>
    <t>anerkannte Kosten nach Prüfung der Endabrechnung</t>
  </si>
  <si>
    <t>aberkannte Kosten nach Prüfung der Endabrechnung</t>
  </si>
  <si>
    <t>Anerkannte Gesamtausgaben* nach Prüfung der Endabrechnung</t>
  </si>
  <si>
    <t xml:space="preserve"> </t>
  </si>
  <si>
    <t>Bezeichnung der vergebenen Leistung</t>
  </si>
  <si>
    <t>Unternehmen/Person, an das/die die Leistung vergeben wurde</t>
  </si>
  <si>
    <t>Anerkannt n.P.</t>
  </si>
  <si>
    <t>Aberkannt n.P.</t>
  </si>
  <si>
    <t>d) Indirekte Kosten</t>
  </si>
  <si>
    <t>xxx-2022/23</t>
  </si>
  <si>
    <t>voraussichtlich notwendig</t>
  </si>
  <si>
    <t>c</t>
  </si>
  <si>
    <t>Budgetüberschreitung</t>
  </si>
  <si>
    <t>Überschreitung von 15% der direkten Personalkosten</t>
  </si>
  <si>
    <t>Tatsächliche anerkannte Kosten nach Prüfung</t>
  </si>
  <si>
    <t>Indirekte Kosten (Betrag ist anerkannter Betrag, kleinster ist ausschlaggebend)</t>
  </si>
  <si>
    <t>Veranstaltungsname</t>
  </si>
  <si>
    <t>Indirekte Kosten pauschaliert</t>
  </si>
  <si>
    <t>d)</t>
  </si>
  <si>
    <t>e)</t>
  </si>
  <si>
    <t>budgetierter Prozentsatz an den direkten anerkannten Gesamtkosten (1 = ja, 0=nein)</t>
  </si>
  <si>
    <t>budgetierter Prozentsatz an den direkten anerkannten Personalkosten (1 = ja, 0=nein)</t>
  </si>
  <si>
    <t>Prozentsatz an den direkten anerkannten Gesamtkosten (Prozentsatz eintragen)</t>
  </si>
  <si>
    <t>Prozentsatz an den direkten anerkannten Personalkosten (Prozentsatz eintragen)</t>
  </si>
  <si>
    <t>Wie abgerechnet (1 = ja, 0 = nein) - so war es bisher</t>
  </si>
  <si>
    <t>Prozentsatz</t>
  </si>
  <si>
    <t>Indirekte Kosten Berechnung</t>
  </si>
  <si>
    <t>Abrechnung in Prüfung</t>
  </si>
  <si>
    <t>Vor-Prüfungsmeldung:</t>
  </si>
  <si>
    <t>1. ZWB:</t>
  </si>
  <si>
    <t>2. ZWB:</t>
  </si>
  <si>
    <t>3. ZWB:</t>
  </si>
  <si>
    <t>Stichtag Zwischenbericht:</t>
  </si>
  <si>
    <t>IST-Stunden Abrechnungs-zeitraum "A" 
(1. ZWB)</t>
  </si>
  <si>
    <t>IST-Stunden Abrechnungs-zeitraum "B" 
(2. ZWB)</t>
  </si>
  <si>
    <t>IST-Stunden Abrechnungs-zeitraum "C" 
(3. ZWB)</t>
  </si>
  <si>
    <t>IST-Stunden Abrechnungs-zeitraum "D" 
(Endbericht)</t>
  </si>
  <si>
    <t>Betrag Abrechnungs-zeitraum "A"
1. ZWB</t>
  </si>
  <si>
    <t>Betrag Abrechnungs-zeitraum "B"
2. ZWB</t>
  </si>
  <si>
    <t>Betrag Abrechnungs-zeitraum "C"
3. ZWB</t>
  </si>
  <si>
    <t>Betrag Abrechnungs-zeitraum "D"
Endbericht</t>
  </si>
  <si>
    <t>Betrag
Gesamt</t>
  </si>
  <si>
    <t>Anerkannt n.Prfg.</t>
  </si>
  <si>
    <t>Aberkannt n.Prfg.</t>
  </si>
  <si>
    <t>IST-Stunden gesamt für die Zeit, auf die sich das Lohnkonto bezieht</t>
  </si>
  <si>
    <t>Diese Werte berechnen sich automatisch.</t>
  </si>
  <si>
    <t>Abrechnungsprüfung (wird von Abrechnungsprüfer/in befüllt)</t>
  </si>
  <si>
    <t>keine</t>
  </si>
  <si>
    <t>Wird bei der Prüfung der Endabrechnung ermittelt (siehe Overview)</t>
  </si>
  <si>
    <t>nein</t>
  </si>
  <si>
    <t>Vergleichsangebote sind vorzulegen ab:</t>
  </si>
  <si>
    <t>Bitte fügen sie zusätzliche Zeilen oberhalb dieser Zeile ein!</t>
  </si>
  <si>
    <t>Titel</t>
  </si>
  <si>
    <t>Ist auf der ersten Seite des Fördervertrags zu finden (z.B. 12ABNAT345C-678/90XY)</t>
  </si>
  <si>
    <r>
      <t xml:space="preserve">Wird dem Projekt die Umsatzsteuer verrechnet? </t>
    </r>
    <r>
      <rPr>
        <b/>
        <sz val="8"/>
        <rFont val="Calibri"/>
        <family val="2"/>
        <scheme val="minor"/>
      </rPr>
      <t>(wenn ja, ist eine Bestätigung mit dem Endbericht digital und physisch vorzulegen)</t>
    </r>
  </si>
  <si>
    <t>Bitte Lesen Sie vor dem Befüllen der Abrechnungsvorlage die "Anleitung zur Abrechnungsvorlage 2022/23" um Fehler beim Befüllen der Vorlage zu vermeiden! =&gt;</t>
  </si>
  <si>
    <t>Förderfähige Gesamtkosten am Lohnkonto</t>
  </si>
  <si>
    <r>
      <rPr>
        <b/>
        <sz val="16"/>
        <color theme="1"/>
        <rFont val="Calibri"/>
        <family val="2"/>
        <scheme val="minor"/>
      </rPr>
      <t>Projektabrechnung</t>
    </r>
    <r>
      <rPr>
        <sz val="11"/>
        <color theme="1"/>
        <rFont val="Calibri"/>
        <family val="2"/>
        <scheme val="minor"/>
      </rPr>
      <t xml:space="preserve">
</t>
    </r>
    <r>
      <rPr>
        <b/>
        <sz val="10"/>
        <rFont val="Calibri"/>
        <family val="2"/>
        <scheme val="minor"/>
      </rPr>
      <t>Nationale Integrationsförderung 2022/23</t>
    </r>
  </si>
  <si>
    <t>Abrechnungsformularversion vom 18.07.2022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</si>
</sst>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0.0"/>
    <numFmt numFmtId="165" formatCode="&quot;€&quot;\ #,##0.00"/>
  </numFmts>
  <fonts count="38" x14ac:knownFonts="1">
    <font>
      <sz val="11"/>
      <color theme="1"/>
      <name val="Calibri"/>
      <family val="2"/>
      <scheme val="minor"/>
    </font>
    <font>
      <sz val="10"/>
      <name val="Arial"/>
      <family val="2"/>
    </font>
    <font>
      <sz val="10"/>
      <name val="Arial"/>
      <family val="2"/>
    </font>
    <font>
      <b/>
      <sz val="9"/>
      <color indexed="81"/>
      <name val="Segoe UI"/>
      <family val="2"/>
    </font>
    <font>
      <sz val="11"/>
      <color theme="1"/>
      <name val="Calibri"/>
      <family val="2"/>
      <scheme val="minor"/>
    </font>
    <font>
      <sz val="11"/>
      <name val="Calibri"/>
      <family val="2"/>
      <scheme val="minor"/>
    </font>
    <font>
      <b/>
      <sz val="9"/>
      <color theme="1"/>
      <name val="Calibri"/>
      <family val="2"/>
      <scheme val="minor"/>
    </font>
    <font>
      <sz val="10"/>
      <color theme="1"/>
      <name val="Calibri"/>
      <family val="2"/>
      <scheme val="minor"/>
    </font>
    <font>
      <b/>
      <sz val="11"/>
      <color theme="0"/>
      <name val="Calibri"/>
      <family val="2"/>
      <scheme val="minor"/>
    </font>
    <font>
      <sz val="10"/>
      <name val="Calibri"/>
      <family val="2"/>
      <scheme val="minor"/>
    </font>
    <font>
      <sz val="8"/>
      <name val="Calibri"/>
      <family val="2"/>
      <scheme val="minor"/>
    </font>
    <font>
      <b/>
      <sz val="16"/>
      <name val="Calibri"/>
      <family val="2"/>
      <scheme val="minor"/>
    </font>
    <font>
      <b/>
      <sz val="10"/>
      <name val="Calibri"/>
      <family val="2"/>
      <scheme val="minor"/>
    </font>
    <font>
      <b/>
      <sz val="10"/>
      <color rgb="FFFF0000"/>
      <name val="Calibri"/>
      <family val="2"/>
      <scheme val="minor"/>
    </font>
    <font>
      <b/>
      <sz val="8"/>
      <color theme="0"/>
      <name val="Calibri"/>
      <family val="2"/>
      <scheme val="minor"/>
    </font>
    <font>
      <b/>
      <sz val="9"/>
      <color theme="0"/>
      <name val="Calibri"/>
      <family val="2"/>
      <scheme val="minor"/>
    </font>
    <font>
      <b/>
      <sz val="11"/>
      <name val="Calibri"/>
      <family val="2"/>
      <scheme val="minor"/>
    </font>
    <font>
      <b/>
      <sz val="8"/>
      <name val="Calibri"/>
      <family val="2"/>
      <scheme val="minor"/>
    </font>
    <font>
      <b/>
      <sz val="10"/>
      <color theme="1"/>
      <name val="Calibri"/>
      <family val="2"/>
      <scheme val="minor"/>
    </font>
    <font>
      <b/>
      <sz val="9"/>
      <name val="Calibri"/>
      <family val="2"/>
      <scheme val="minor"/>
    </font>
    <font>
      <sz val="9"/>
      <color theme="1"/>
      <name val="Calibri"/>
      <family val="2"/>
      <scheme val="minor"/>
    </font>
    <font>
      <sz val="9"/>
      <color theme="4" tint="-0.499984740745262"/>
      <name val="Calibri"/>
      <family val="2"/>
      <scheme val="minor"/>
    </font>
    <font>
      <b/>
      <sz val="12"/>
      <name val="Calibri"/>
      <family val="2"/>
      <scheme val="minor"/>
    </font>
    <font>
      <sz val="10"/>
      <color theme="0" tint="-0.14999847407452621"/>
      <name val="Calibri"/>
      <family val="2"/>
      <scheme val="minor"/>
    </font>
    <font>
      <sz val="8"/>
      <color theme="0" tint="-0.14999847407452621"/>
      <name val="Calibri"/>
      <family val="2"/>
      <scheme val="minor"/>
    </font>
    <font>
      <b/>
      <sz val="14"/>
      <name val="Calibri"/>
      <family val="2"/>
      <scheme val="minor"/>
    </font>
    <font>
      <b/>
      <sz val="10"/>
      <color theme="0"/>
      <name val="Calibri"/>
      <family val="2"/>
      <scheme val="minor"/>
    </font>
    <font>
      <b/>
      <sz val="12"/>
      <color theme="0"/>
      <name val="Calibri"/>
      <family val="2"/>
      <scheme val="minor"/>
    </font>
    <font>
      <b/>
      <sz val="8"/>
      <color theme="1"/>
      <name val="Calibri"/>
      <family val="2"/>
      <scheme val="minor"/>
    </font>
    <font>
      <b/>
      <sz val="12"/>
      <color theme="1"/>
      <name val="Calibri"/>
      <family val="2"/>
      <scheme val="minor"/>
    </font>
    <font>
      <sz val="10"/>
      <name val="Calibri"/>
      <family val="2"/>
      <scheme val="minor"/>
    </font>
    <font>
      <sz val="11"/>
      <color theme="1"/>
      <name val="Calibri"/>
      <family val="2"/>
      <scheme val="minor"/>
    </font>
    <font>
      <sz val="10"/>
      <color theme="1"/>
      <name val="Calibri"/>
      <family val="2"/>
      <scheme val="minor"/>
    </font>
    <font>
      <b/>
      <sz val="16"/>
      <color theme="1"/>
      <name val="Calibri"/>
      <family val="2"/>
      <scheme val="minor"/>
    </font>
    <font>
      <sz val="10"/>
      <color theme="0"/>
      <name val="Calibri"/>
      <family val="2"/>
      <scheme val="minor"/>
    </font>
    <font>
      <sz val="9"/>
      <color indexed="81"/>
      <name val="Segoe UI"/>
      <family val="2"/>
    </font>
    <font>
      <b/>
      <u/>
      <sz val="9"/>
      <color indexed="81"/>
      <name val="Segoe UI"/>
      <family val="2"/>
    </font>
    <font>
      <b/>
      <sz val="10"/>
      <color indexed="81"/>
      <name val="Calibri"/>
      <family val="2"/>
      <scheme val="minor"/>
    </font>
  </fonts>
  <fills count="22">
    <fill>
      <patternFill patternType="none"/>
    </fill>
    <fill>
      <patternFill patternType="gray125"/>
    </fill>
    <fill>
      <patternFill patternType="solid">
        <fgColor rgb="FFDDDDDD"/>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249977111117893"/>
        <bgColor indexed="64"/>
      </patternFill>
    </fill>
    <fill>
      <patternFill patternType="solid">
        <fgColor theme="9" tint="0.79998168889431442"/>
        <bgColor indexed="64"/>
      </patternFill>
    </fill>
  </fills>
  <borders count="6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 fillId="0" borderId="0"/>
    <xf numFmtId="44" fontId="2" fillId="0" borderId="0" applyFont="0" applyFill="0" applyBorder="0" applyAlignment="0" applyProtection="0"/>
    <xf numFmtId="44" fontId="1" fillId="0" borderId="0" applyFont="0" applyFill="0" applyBorder="0" applyAlignment="0" applyProtection="0"/>
  </cellStyleXfs>
  <cellXfs count="622">
    <xf numFmtId="0" fontId="0" fillId="0" borderId="0" xfId="0"/>
    <xf numFmtId="44" fontId="4" fillId="0" borderId="6" xfId="6" applyFont="1" applyFill="1" applyBorder="1" applyAlignment="1" applyProtection="1">
      <alignment vertical="center" wrapText="1"/>
      <protection locked="0"/>
    </xf>
    <xf numFmtId="44" fontId="4" fillId="0" borderId="6" xfId="6" applyNumberFormat="1" applyFont="1" applyFill="1" applyBorder="1" applyAlignment="1" applyProtection="1">
      <alignment vertical="center" wrapText="1"/>
      <protection locked="0"/>
    </xf>
    <xf numFmtId="44" fontId="4" fillId="0" borderId="8" xfId="6" applyFont="1" applyFill="1" applyBorder="1" applyAlignment="1" applyProtection="1">
      <alignment vertical="center" wrapText="1"/>
      <protection hidden="1"/>
    </xf>
    <xf numFmtId="0" fontId="9" fillId="0" borderId="9" xfId="5" applyFont="1" applyFill="1" applyBorder="1" applyAlignment="1" applyProtection="1">
      <alignment vertical="center" wrapText="1"/>
      <protection hidden="1"/>
    </xf>
    <xf numFmtId="0" fontId="9" fillId="0" borderId="8" xfId="5" applyFont="1" applyFill="1" applyBorder="1" applyAlignment="1" applyProtection="1">
      <alignment vertical="center" wrapText="1"/>
      <protection hidden="1"/>
    </xf>
    <xf numFmtId="0" fontId="9" fillId="0" borderId="7" xfId="5" applyFont="1" applyFill="1" applyBorder="1" applyAlignment="1" applyProtection="1">
      <alignment vertical="center" wrapText="1"/>
      <protection hidden="1"/>
    </xf>
    <xf numFmtId="0" fontId="9" fillId="2" borderId="0" xfId="5" applyFont="1" applyFill="1" applyAlignment="1" applyProtection="1">
      <alignment vertical="center" wrapText="1"/>
      <protection hidden="1"/>
    </xf>
    <xf numFmtId="0" fontId="9" fillId="0" borderId="5" xfId="5" applyFont="1" applyFill="1" applyBorder="1" applyAlignment="1" applyProtection="1">
      <alignment vertical="center" wrapText="1"/>
      <protection hidden="1"/>
    </xf>
    <xf numFmtId="0" fontId="9" fillId="0" borderId="0" xfId="5" applyFont="1" applyFill="1" applyBorder="1" applyAlignment="1" applyProtection="1">
      <alignment vertical="center" wrapText="1"/>
      <protection hidden="1"/>
    </xf>
    <xf numFmtId="0" fontId="9" fillId="0" borderId="4" xfId="5" applyFont="1" applyFill="1" applyBorder="1" applyAlignment="1" applyProtection="1">
      <alignment vertical="center" wrapText="1"/>
      <protection hidden="1"/>
    </xf>
    <xf numFmtId="0" fontId="8" fillId="11" borderId="6" xfId="5" applyFont="1" applyFill="1" applyBorder="1" applyAlignment="1" applyProtection="1">
      <alignment horizontal="right" vertical="center" wrapText="1"/>
      <protection hidden="1"/>
    </xf>
    <xf numFmtId="0" fontId="9" fillId="0" borderId="2" xfId="5" applyFont="1" applyFill="1" applyBorder="1" applyAlignment="1" applyProtection="1">
      <alignment vertical="center" wrapText="1"/>
      <protection hidden="1"/>
    </xf>
    <xf numFmtId="0" fontId="9" fillId="0" borderId="3" xfId="5" applyFont="1" applyFill="1" applyBorder="1" applyAlignment="1" applyProtection="1">
      <alignment vertical="center" wrapText="1"/>
      <protection hidden="1"/>
    </xf>
    <xf numFmtId="0" fontId="9" fillId="0" borderId="1" xfId="5" applyFont="1" applyFill="1" applyBorder="1" applyAlignment="1" applyProtection="1">
      <alignment vertical="center" wrapText="1"/>
      <protection hidden="1"/>
    </xf>
    <xf numFmtId="0" fontId="5" fillId="0" borderId="5" xfId="5" applyFont="1" applyFill="1" applyBorder="1" applyAlignment="1" applyProtection="1">
      <alignment vertical="center" wrapText="1"/>
      <protection hidden="1"/>
    </xf>
    <xf numFmtId="0" fontId="8" fillId="11" borderId="10" xfId="5" applyFont="1" applyFill="1" applyBorder="1" applyAlignment="1" applyProtection="1">
      <alignment horizontal="right" vertical="center"/>
      <protection hidden="1"/>
    </xf>
    <xf numFmtId="0" fontId="8" fillId="11" borderId="6" xfId="5" applyFont="1" applyFill="1" applyBorder="1" applyAlignment="1" applyProtection="1">
      <alignment horizontal="right" vertical="center"/>
      <protection hidden="1"/>
    </xf>
    <xf numFmtId="0" fontId="8" fillId="0" borderId="5" xfId="5" applyFont="1" applyFill="1" applyBorder="1" applyAlignment="1" applyProtection="1">
      <alignment vertical="center"/>
      <protection hidden="1"/>
    </xf>
    <xf numFmtId="0" fontId="5" fillId="0" borderId="0" xfId="5" applyFont="1" applyFill="1" applyBorder="1" applyAlignment="1" applyProtection="1">
      <alignment vertical="center" wrapText="1"/>
      <protection hidden="1"/>
    </xf>
    <xf numFmtId="0" fontId="5" fillId="0" borderId="4" xfId="5" applyFont="1" applyFill="1" applyBorder="1" applyAlignment="1" applyProtection="1">
      <alignment vertical="center" wrapText="1"/>
      <protection hidden="1"/>
    </xf>
    <xf numFmtId="0" fontId="5" fillId="2" borderId="0" xfId="5" applyFont="1" applyFill="1" applyAlignment="1" applyProtection="1">
      <alignment vertical="center" wrapText="1"/>
      <protection hidden="1"/>
    </xf>
    <xf numFmtId="49" fontId="9" fillId="0" borderId="0" xfId="5" applyNumberFormat="1" applyFont="1" applyFill="1" applyBorder="1" applyAlignment="1" applyProtection="1">
      <alignment horizontal="left" vertical="center" wrapText="1"/>
      <protection hidden="1"/>
    </xf>
    <xf numFmtId="164" fontId="9" fillId="0" borderId="0" xfId="5" applyNumberFormat="1" applyFont="1" applyFill="1" applyBorder="1" applyAlignment="1" applyProtection="1">
      <alignment horizontal="right" vertical="center" wrapText="1"/>
      <protection hidden="1"/>
    </xf>
    <xf numFmtId="49" fontId="22" fillId="14" borderId="12" xfId="5" applyNumberFormat="1" applyFont="1" applyFill="1" applyBorder="1" applyAlignment="1" applyProtection="1">
      <alignment vertical="center" wrapText="1"/>
      <protection hidden="1"/>
    </xf>
    <xf numFmtId="44" fontId="22" fillId="14" borderId="6" xfId="6" applyFont="1" applyFill="1" applyBorder="1" applyAlignment="1" applyProtection="1">
      <alignment vertical="center" wrapText="1"/>
      <protection hidden="1"/>
    </xf>
    <xf numFmtId="0" fontId="8" fillId="11" borderId="10" xfId="5" applyFont="1" applyFill="1" applyBorder="1" applyAlignment="1" applyProtection="1">
      <alignment horizontal="right" vertical="center" wrapText="1"/>
      <protection hidden="1"/>
    </xf>
    <xf numFmtId="0" fontId="18" fillId="5" borderId="6" xfId="5" applyFont="1" applyFill="1" applyBorder="1" applyAlignment="1" applyProtection="1">
      <alignment horizontal="center" vertical="center" wrapText="1"/>
      <protection hidden="1"/>
    </xf>
    <xf numFmtId="0" fontId="18" fillId="5" borderId="6" xfId="5" applyFont="1" applyFill="1" applyBorder="1" applyAlignment="1" applyProtection="1">
      <alignment horizontal="center" vertical="center"/>
      <protection hidden="1"/>
    </xf>
    <xf numFmtId="44" fontId="9" fillId="0" borderId="10" xfId="5" applyNumberFormat="1" applyFont="1" applyFill="1" applyBorder="1" applyAlignment="1" applyProtection="1">
      <alignment horizontal="left" vertical="center" wrapText="1"/>
      <protection locked="0"/>
    </xf>
    <xf numFmtId="0" fontId="7" fillId="0" borderId="11" xfId="5" applyFont="1" applyBorder="1" applyAlignment="1" applyProtection="1">
      <alignment horizontal="center" vertical="center" wrapText="1"/>
      <protection hidden="1"/>
    </xf>
    <xf numFmtId="0" fontId="7" fillId="0" borderId="11" xfId="5" applyFont="1" applyBorder="1" applyAlignment="1" applyProtection="1">
      <alignment horizontal="left" vertical="center" wrapText="1"/>
      <protection hidden="1"/>
    </xf>
    <xf numFmtId="0" fontId="7" fillId="0" borderId="11" xfId="5" applyFont="1" applyBorder="1" applyAlignment="1" applyProtection="1">
      <alignment horizontal="left" vertical="center" wrapText="1"/>
      <protection locked="0"/>
    </xf>
    <xf numFmtId="0" fontId="7" fillId="0" borderId="6" xfId="5" applyFont="1" applyBorder="1" applyAlignment="1" applyProtection="1">
      <alignment horizontal="left" vertical="center" wrapText="1"/>
      <protection hidden="1"/>
    </xf>
    <xf numFmtId="0" fontId="7" fillId="0" borderId="6" xfId="5" applyFont="1" applyBorder="1" applyAlignment="1" applyProtection="1">
      <alignment horizontal="center" vertical="center" wrapText="1"/>
      <protection hidden="1"/>
    </xf>
    <xf numFmtId="0" fontId="7" fillId="0" borderId="6" xfId="5" applyFont="1" applyBorder="1" applyAlignment="1" applyProtection="1">
      <alignment horizontal="left" vertical="center" wrapText="1"/>
      <protection locked="0"/>
    </xf>
    <xf numFmtId="49" fontId="22" fillId="14" borderId="6" xfId="5" applyNumberFormat="1" applyFont="1" applyFill="1" applyBorder="1" applyAlignment="1" applyProtection="1">
      <alignment horizontal="left" vertical="center" wrapText="1"/>
      <protection hidden="1"/>
    </xf>
    <xf numFmtId="49" fontId="9" fillId="0" borderId="8" xfId="5" applyNumberFormat="1" applyFont="1" applyFill="1" applyBorder="1" applyAlignment="1" applyProtection="1">
      <alignment horizontal="left" vertical="center" wrapText="1"/>
      <protection hidden="1"/>
    </xf>
    <xf numFmtId="49" fontId="25" fillId="14" borderId="6" xfId="5" applyNumberFormat="1" applyFont="1" applyFill="1" applyBorder="1" applyAlignment="1" applyProtection="1">
      <alignment horizontal="left" vertical="center" wrapText="1"/>
      <protection hidden="1"/>
    </xf>
    <xf numFmtId="44" fontId="25" fillId="14" borderId="6" xfId="6" applyFont="1" applyFill="1" applyBorder="1" applyAlignment="1" applyProtection="1">
      <alignment vertical="center" wrapText="1"/>
      <protection hidden="1"/>
    </xf>
    <xf numFmtId="0" fontId="9" fillId="0" borderId="9" xfId="5" applyFont="1" applyFill="1" applyBorder="1" applyAlignment="1" applyProtection="1">
      <alignment vertical="center" wrapText="1"/>
    </xf>
    <xf numFmtId="0" fontId="9" fillId="0" borderId="8" xfId="5" applyFont="1" applyFill="1" applyBorder="1" applyAlignment="1" applyProtection="1">
      <alignment vertical="center" wrapText="1"/>
    </xf>
    <xf numFmtId="0" fontId="11" fillId="0" borderId="8" xfId="5" applyFont="1" applyFill="1" applyBorder="1" applyAlignment="1" applyProtection="1">
      <alignment horizontal="center" vertical="center" wrapText="1"/>
    </xf>
    <xf numFmtId="0" fontId="9" fillId="0" borderId="7" xfId="5" applyFont="1" applyFill="1" applyBorder="1" applyAlignment="1" applyProtection="1">
      <alignment vertical="center" wrapText="1"/>
    </xf>
    <xf numFmtId="0" fontId="9" fillId="2" borderId="0" xfId="5" applyFont="1" applyFill="1" applyAlignment="1" applyProtection="1">
      <alignment vertical="center" wrapText="1"/>
    </xf>
    <xf numFmtId="0" fontId="9" fillId="0" borderId="5" xfId="5" applyFont="1" applyFill="1" applyBorder="1" applyAlignment="1" applyProtection="1">
      <alignment vertical="center" wrapText="1"/>
    </xf>
    <xf numFmtId="0" fontId="27" fillId="0" borderId="0" xfId="5" applyFont="1" applyFill="1" applyBorder="1" applyAlignment="1" applyProtection="1">
      <alignment horizontal="center" vertical="top" wrapText="1"/>
    </xf>
    <xf numFmtId="0" fontId="9" fillId="0" borderId="0" xfId="5" applyFont="1" applyFill="1" applyAlignment="1" applyProtection="1">
      <alignment vertical="center" wrapText="1"/>
    </xf>
    <xf numFmtId="0" fontId="9" fillId="0" borderId="4" xfId="5" applyFont="1" applyFill="1" applyBorder="1" applyAlignment="1" applyProtection="1">
      <alignment vertical="center" wrapText="1"/>
    </xf>
    <xf numFmtId="0" fontId="11" fillId="0" borderId="0" xfId="5" applyFont="1" applyFill="1" applyBorder="1" applyAlignment="1" applyProtection="1">
      <alignment horizontal="center" vertical="center" wrapText="1"/>
    </xf>
    <xf numFmtId="0" fontId="12" fillId="3" borderId="11" xfId="5" applyFont="1" applyFill="1" applyBorder="1" applyAlignment="1" applyProtection="1">
      <alignment horizontal="center" vertical="center" wrapText="1"/>
    </xf>
    <xf numFmtId="44" fontId="7" fillId="0" borderId="0" xfId="5" applyNumberFormat="1" applyFont="1" applyBorder="1" applyAlignment="1" applyProtection="1">
      <alignment horizontal="right" vertical="center" wrapText="1"/>
    </xf>
    <xf numFmtId="0" fontId="7" fillId="0" borderId="0" xfId="5" applyFont="1" applyBorder="1" applyAlignment="1" applyProtection="1">
      <alignment horizontal="left" vertical="center" wrapText="1"/>
    </xf>
    <xf numFmtId="0" fontId="9" fillId="2" borderId="0" xfId="5" applyFont="1" applyFill="1" applyBorder="1" applyAlignment="1" applyProtection="1">
      <alignment vertical="center" wrapText="1"/>
    </xf>
    <xf numFmtId="49" fontId="9" fillId="0" borderId="0" xfId="5" applyNumberFormat="1" applyFont="1" applyFill="1" applyBorder="1" applyAlignment="1" applyProtection="1">
      <alignment horizontal="left" vertical="center" wrapText="1"/>
    </xf>
    <xf numFmtId="0" fontId="9" fillId="0" borderId="3" xfId="5" applyFont="1" applyFill="1" applyBorder="1" applyAlignment="1" applyProtection="1">
      <alignment vertical="center" wrapText="1"/>
    </xf>
    <xf numFmtId="0" fontId="9" fillId="0" borderId="2" xfId="5" applyFont="1" applyFill="1" applyBorder="1" applyAlignment="1" applyProtection="1">
      <alignment vertical="center" wrapText="1"/>
    </xf>
    <xf numFmtId="0" fontId="9" fillId="0" borderId="1" xfId="5" applyFont="1" applyFill="1" applyBorder="1" applyAlignment="1" applyProtection="1">
      <alignment vertical="center" wrapText="1"/>
    </xf>
    <xf numFmtId="0" fontId="12" fillId="10" borderId="6" xfId="5" applyFont="1" applyFill="1" applyBorder="1" applyAlignment="1" applyProtection="1">
      <alignment horizontal="center" vertical="center" wrapText="1"/>
      <protection hidden="1"/>
    </xf>
    <xf numFmtId="0" fontId="12" fillId="3" borderId="3" xfId="5"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xf>
    <xf numFmtId="164" fontId="9" fillId="0" borderId="0" xfId="5" applyNumberFormat="1" applyFont="1" applyFill="1" applyBorder="1" applyAlignment="1" applyProtection="1">
      <alignment horizontal="right" vertical="center" wrapText="1"/>
    </xf>
    <xf numFmtId="44" fontId="4" fillId="0" borderId="0" xfId="7" applyFont="1" applyFill="1" applyBorder="1" applyAlignment="1" applyProtection="1">
      <alignment horizontal="right" vertical="center" wrapText="1"/>
    </xf>
    <xf numFmtId="0" fontId="9" fillId="3" borderId="19" xfId="5" applyFont="1" applyFill="1" applyBorder="1" applyAlignment="1" applyProtection="1">
      <alignment horizontal="center" vertical="center" wrapText="1"/>
      <protection locked="0"/>
    </xf>
    <xf numFmtId="0" fontId="9" fillId="0" borderId="20" xfId="5" applyFont="1" applyFill="1" applyBorder="1" applyAlignment="1" applyProtection="1">
      <alignment horizontal="center" vertical="center" wrapText="1"/>
      <protection locked="0"/>
    </xf>
    <xf numFmtId="49" fontId="9" fillId="0" borderId="20" xfId="5" applyNumberFormat="1" applyFont="1" applyFill="1" applyBorder="1" applyAlignment="1" applyProtection="1">
      <alignment horizontal="center" vertical="center" wrapText="1"/>
      <protection locked="0"/>
    </xf>
    <xf numFmtId="0" fontId="5" fillId="7" borderId="27" xfId="0" applyFont="1" applyFill="1" applyBorder="1" applyAlignment="1" applyProtection="1">
      <alignment horizontal="left" vertical="center"/>
    </xf>
    <xf numFmtId="44" fontId="4" fillId="0" borderId="21" xfId="7" applyFont="1" applyFill="1" applyBorder="1" applyAlignment="1" applyProtection="1">
      <alignment horizontal="right" vertical="center" wrapText="1"/>
      <protection locked="0"/>
    </xf>
    <xf numFmtId="44" fontId="9" fillId="0" borderId="20" xfId="5" applyNumberFormat="1" applyFont="1" applyFill="1" applyBorder="1" applyAlignment="1" applyProtection="1">
      <alignment horizontal="right" vertical="center" wrapText="1"/>
      <protection locked="0"/>
    </xf>
    <xf numFmtId="4" fontId="9" fillId="0" borderId="20" xfId="5" applyNumberFormat="1" applyFont="1" applyFill="1" applyBorder="1" applyAlignment="1" applyProtection="1">
      <alignment horizontal="right" vertical="center" wrapText="1"/>
      <protection locked="0"/>
    </xf>
    <xf numFmtId="49" fontId="9" fillId="0" borderId="12" xfId="5" applyNumberFormat="1" applyFont="1" applyFill="1" applyBorder="1" applyAlignment="1" applyProtection="1">
      <alignment horizontal="left" vertical="center" wrapText="1"/>
      <protection locked="0"/>
    </xf>
    <xf numFmtId="49" fontId="9" fillId="0" borderId="10" xfId="5" applyNumberFormat="1" applyFont="1" applyFill="1" applyBorder="1" applyAlignment="1" applyProtection="1">
      <alignment horizontal="left" vertical="center" wrapText="1"/>
      <protection locked="0"/>
    </xf>
    <xf numFmtId="0" fontId="12" fillId="3" borderId="34" xfId="5" applyNumberFormat="1" applyFont="1" applyFill="1" applyBorder="1" applyAlignment="1">
      <alignment horizontal="center" vertical="center" wrapText="1"/>
    </xf>
    <xf numFmtId="0" fontId="12" fillId="3" borderId="35" xfId="5" applyFont="1" applyFill="1" applyBorder="1" applyAlignment="1" applyProtection="1">
      <alignment horizontal="center" vertical="center" wrapText="1"/>
    </xf>
    <xf numFmtId="0" fontId="9" fillId="3" borderId="38" xfId="5" applyFont="1" applyFill="1" applyBorder="1" applyAlignment="1" applyProtection="1">
      <alignment horizontal="center" vertical="center" wrapText="1"/>
      <protection locked="0"/>
    </xf>
    <xf numFmtId="44" fontId="9" fillId="0" borderId="39" xfId="5" applyNumberFormat="1" applyFont="1" applyFill="1" applyBorder="1" applyAlignment="1" applyProtection="1">
      <alignment vertical="center" wrapText="1"/>
      <protection locked="0"/>
    </xf>
    <xf numFmtId="49" fontId="9" fillId="0" borderId="39" xfId="5" applyNumberFormat="1" applyFont="1" applyFill="1" applyBorder="1" applyAlignment="1" applyProtection="1">
      <alignment horizontal="center" vertical="center" wrapText="1"/>
      <protection locked="0"/>
    </xf>
    <xf numFmtId="44" fontId="0" fillId="0" borderId="40" xfId="7" applyFont="1" applyFill="1" applyBorder="1" applyAlignment="1" applyProtection="1">
      <alignment horizontal="right" vertical="center" wrapText="1"/>
      <protection locked="0"/>
    </xf>
    <xf numFmtId="0" fontId="12" fillId="18" borderId="11" xfId="5" applyFont="1" applyFill="1" applyBorder="1" applyAlignment="1" applyProtection="1">
      <alignment horizontal="center" vertical="center" wrapText="1"/>
    </xf>
    <xf numFmtId="0" fontId="12" fillId="18" borderId="35" xfId="5" applyFont="1" applyFill="1" applyBorder="1" applyAlignment="1" applyProtection="1">
      <alignment horizontal="center" vertical="center" wrapText="1"/>
    </xf>
    <xf numFmtId="0" fontId="27" fillId="8" borderId="26" xfId="5" applyFont="1" applyFill="1" applyBorder="1" applyAlignment="1" applyProtection="1">
      <alignment vertical="top" wrapText="1"/>
    </xf>
    <xf numFmtId="0" fontId="9" fillId="0" borderId="0" xfId="5" applyFont="1" applyFill="1" applyBorder="1" applyAlignment="1" applyProtection="1">
      <alignment vertical="center" wrapText="1"/>
    </xf>
    <xf numFmtId="44" fontId="7" fillId="0" borderId="39" xfId="5" applyNumberFormat="1" applyFont="1" applyBorder="1" applyAlignment="1" applyProtection="1">
      <alignment horizontal="left" vertical="center" wrapText="1"/>
    </xf>
    <xf numFmtId="44" fontId="7" fillId="3" borderId="39" xfId="5" applyNumberFormat="1" applyFont="1" applyFill="1" applyBorder="1" applyAlignment="1" applyProtection="1">
      <alignment horizontal="right" vertical="center" wrapText="1"/>
    </xf>
    <xf numFmtId="44" fontId="7" fillId="0" borderId="39" xfId="5" applyNumberFormat="1" applyFont="1" applyBorder="1" applyAlignment="1" applyProtection="1">
      <alignment horizontal="right" vertical="center" wrapText="1"/>
    </xf>
    <xf numFmtId="0" fontId="7" fillId="0" borderId="39" xfId="5" applyFont="1" applyBorder="1" applyAlignment="1" applyProtection="1">
      <alignment horizontal="left" vertical="center" wrapText="1"/>
    </xf>
    <xf numFmtId="0" fontId="7" fillId="0" borderId="39" xfId="5" applyFont="1" applyBorder="1" applyAlignment="1" applyProtection="1">
      <alignment horizontal="center" vertical="center" wrapText="1"/>
    </xf>
    <xf numFmtId="0" fontId="7" fillId="0" borderId="39" xfId="5" applyFont="1" applyBorder="1" applyAlignment="1" applyProtection="1">
      <alignment horizontal="left" vertical="center" wrapText="1"/>
      <protection locked="0"/>
    </xf>
    <xf numFmtId="0" fontId="7" fillId="0" borderId="39" xfId="5" applyFont="1" applyFill="1" applyBorder="1" applyAlignment="1" applyProtection="1">
      <alignment horizontal="left" vertical="center" wrapText="1"/>
    </xf>
    <xf numFmtId="0" fontId="7" fillId="0" borderId="39" xfId="5" applyFont="1" applyFill="1" applyBorder="1" applyAlignment="1" applyProtection="1">
      <alignment horizontal="center" vertical="center" wrapText="1"/>
    </xf>
    <xf numFmtId="0" fontId="7" fillId="0" borderId="39" xfId="5" applyFont="1" applyFill="1" applyBorder="1" applyAlignment="1" applyProtection="1">
      <alignment horizontal="left" vertical="center" wrapText="1"/>
      <protection locked="0"/>
    </xf>
    <xf numFmtId="44" fontId="7" fillId="0" borderId="39" xfId="5" applyNumberFormat="1" applyFont="1" applyFill="1" applyBorder="1" applyAlignment="1" applyProtection="1">
      <alignment horizontal="left" vertical="center" wrapText="1"/>
    </xf>
    <xf numFmtId="0" fontId="9" fillId="3" borderId="38" xfId="5" applyFont="1" applyFill="1" applyBorder="1" applyAlignment="1" applyProtection="1">
      <alignment horizontal="center" vertical="center" wrapText="1"/>
    </xf>
    <xf numFmtId="0" fontId="9" fillId="0" borderId="39" xfId="5" applyFont="1" applyFill="1" applyBorder="1" applyAlignment="1" applyProtection="1">
      <alignment horizontal="center" vertical="center" wrapText="1"/>
      <protection locked="0"/>
    </xf>
    <xf numFmtId="44" fontId="9" fillId="0" borderId="39" xfId="5" applyNumberFormat="1" applyFont="1" applyFill="1" applyBorder="1" applyAlignment="1" applyProtection="1">
      <alignment horizontal="right" vertical="center" wrapText="1"/>
      <protection locked="0"/>
    </xf>
    <xf numFmtId="4" fontId="9" fillId="0" borderId="39" xfId="5" applyNumberFormat="1" applyFont="1" applyFill="1" applyBorder="1" applyAlignment="1" applyProtection="1">
      <alignment horizontal="right" vertical="center" wrapText="1"/>
      <protection locked="0"/>
    </xf>
    <xf numFmtId="0" fontId="30" fillId="3" borderId="38" xfId="5" applyFont="1" applyFill="1" applyBorder="1" applyAlignment="1" applyProtection="1">
      <alignment horizontal="center" vertical="center" wrapText="1"/>
      <protection locked="0"/>
    </xf>
    <xf numFmtId="44" fontId="30" fillId="0" borderId="39" xfId="5" applyNumberFormat="1" applyFont="1" applyFill="1" applyBorder="1" applyAlignment="1" applyProtection="1">
      <alignment horizontal="right" vertical="center" wrapText="1"/>
      <protection locked="0"/>
    </xf>
    <xf numFmtId="4" fontId="30" fillId="0" borderId="39" xfId="5" applyNumberFormat="1" applyFont="1" applyFill="1" applyBorder="1" applyAlignment="1" applyProtection="1">
      <alignment horizontal="right" vertical="center" wrapText="1"/>
      <protection locked="0"/>
    </xf>
    <xf numFmtId="49" fontId="30" fillId="0" borderId="39" xfId="5" applyNumberFormat="1" applyFont="1" applyFill="1" applyBorder="1" applyAlignment="1" applyProtection="1">
      <alignment horizontal="center" vertical="center" wrapText="1"/>
      <protection locked="0"/>
    </xf>
    <xf numFmtId="0" fontId="12" fillId="3" borderId="35" xfId="5" applyNumberFormat="1" applyFont="1" applyFill="1" applyBorder="1" applyAlignment="1">
      <alignment horizontal="center" vertical="center" wrapText="1"/>
    </xf>
    <xf numFmtId="4" fontId="0" fillId="3" borderId="39" xfId="0" applyNumberFormat="1" applyFill="1" applyBorder="1" applyProtection="1"/>
    <xf numFmtId="4" fontId="0" fillId="12" borderId="39" xfId="0" applyNumberFormat="1" applyFill="1" applyBorder="1" applyProtection="1"/>
    <xf numFmtId="4" fontId="0" fillId="0" borderId="39" xfId="0" applyNumberFormat="1" applyFill="1" applyBorder="1" applyProtection="1">
      <protection locked="0"/>
    </xf>
    <xf numFmtId="44" fontId="9" fillId="3" borderId="6" xfId="5" applyNumberFormat="1" applyFont="1" applyFill="1" applyBorder="1" applyAlignment="1" applyProtection="1">
      <alignment vertical="center" wrapText="1"/>
    </xf>
    <xf numFmtId="44" fontId="10" fillId="3" borderId="39" xfId="5" applyNumberFormat="1" applyFont="1" applyFill="1" applyBorder="1" applyAlignment="1" applyProtection="1">
      <alignment vertical="center" wrapText="1"/>
    </xf>
    <xf numFmtId="44" fontId="10" fillId="12" borderId="39" xfId="5" applyNumberFormat="1" applyFont="1" applyFill="1" applyBorder="1" applyAlignment="1" applyProtection="1">
      <alignment vertical="center" wrapText="1"/>
    </xf>
    <xf numFmtId="0" fontId="0" fillId="0" borderId="42" xfId="0" applyBorder="1" applyProtection="1"/>
    <xf numFmtId="0" fontId="0" fillId="0" borderId="32" xfId="0" applyBorder="1" applyProtection="1"/>
    <xf numFmtId="0" fontId="0" fillId="0" borderId="33" xfId="0" applyBorder="1" applyProtection="1"/>
    <xf numFmtId="0" fontId="0" fillId="0" borderId="0" xfId="0" applyProtection="1"/>
    <xf numFmtId="0" fontId="0" fillId="0" borderId="43" xfId="0" applyBorder="1" applyProtection="1"/>
    <xf numFmtId="0" fontId="0" fillId="0" borderId="0" xfId="0" applyBorder="1" applyProtection="1"/>
    <xf numFmtId="0" fontId="0" fillId="0" borderId="27" xfId="0" applyBorder="1" applyProtection="1"/>
    <xf numFmtId="0" fontId="0" fillId="3" borderId="34" xfId="0" applyFill="1" applyBorder="1" applyProtection="1"/>
    <xf numFmtId="0" fontId="0" fillId="3" borderId="38" xfId="0" applyFill="1" applyBorder="1" applyProtection="1"/>
    <xf numFmtId="0" fontId="0" fillId="3" borderId="19" xfId="0" applyFill="1" applyBorder="1" applyProtection="1"/>
    <xf numFmtId="0" fontId="0" fillId="12" borderId="31" xfId="0" applyFill="1" applyBorder="1" applyProtection="1"/>
    <xf numFmtId="0" fontId="0" fillId="12" borderId="38" xfId="0" applyFill="1" applyBorder="1" applyProtection="1"/>
    <xf numFmtId="0" fontId="0" fillId="12" borderId="25" xfId="0" applyFill="1" applyBorder="1" applyProtection="1"/>
    <xf numFmtId="10" fontId="17" fillId="3" borderId="12" xfId="2" applyNumberFormat="1" applyFont="1" applyFill="1" applyBorder="1" applyAlignment="1" applyProtection="1">
      <alignment vertical="center" wrapText="1"/>
    </xf>
    <xf numFmtId="10" fontId="10" fillId="12" borderId="12" xfId="2" applyNumberFormat="1" applyFont="1" applyFill="1" applyBorder="1" applyAlignment="1" applyProtection="1">
      <alignment vertical="center" wrapText="1"/>
    </xf>
    <xf numFmtId="10" fontId="10" fillId="3" borderId="12" xfId="2" applyNumberFormat="1" applyFont="1" applyFill="1" applyBorder="1" applyAlignment="1" applyProtection="1">
      <alignment vertical="center" wrapText="1"/>
    </xf>
    <xf numFmtId="0" fontId="21" fillId="3" borderId="13" xfId="5" applyFont="1" applyFill="1" applyBorder="1" applyAlignment="1" applyProtection="1">
      <alignment horizontal="right" vertical="center" wrapText="1"/>
    </xf>
    <xf numFmtId="0" fontId="0" fillId="0" borderId="44" xfId="0" applyBorder="1" applyProtection="1"/>
    <xf numFmtId="0" fontId="0" fillId="0" borderId="41" xfId="0" applyBorder="1" applyProtection="1"/>
    <xf numFmtId="0" fontId="0" fillId="0" borderId="29" xfId="0" applyBorder="1" applyProtection="1"/>
    <xf numFmtId="0" fontId="12" fillId="3" borderId="31" xfId="5" applyFont="1" applyFill="1" applyBorder="1" applyAlignment="1" applyProtection="1">
      <alignment vertical="center" wrapText="1"/>
    </xf>
    <xf numFmtId="0" fontId="12" fillId="3" borderId="38" xfId="5" applyFont="1" applyFill="1" applyBorder="1" applyAlignment="1" applyProtection="1">
      <alignment vertical="center" wrapText="1"/>
    </xf>
    <xf numFmtId="0" fontId="12" fillId="3" borderId="38" xfId="5" applyFont="1" applyFill="1" applyBorder="1" applyAlignment="1" applyProtection="1">
      <alignment horizontal="left" vertical="center" wrapText="1"/>
    </xf>
    <xf numFmtId="0" fontId="26" fillId="11" borderId="35" xfId="5" applyFont="1" applyFill="1" applyBorder="1" applyAlignment="1" applyProtection="1">
      <alignment horizontal="center" vertical="center" wrapText="1"/>
    </xf>
    <xf numFmtId="0" fontId="26" fillId="11" borderId="36" xfId="5" applyFont="1" applyFill="1" applyBorder="1" applyAlignment="1" applyProtection="1">
      <alignment horizontal="center" vertical="center" wrapText="1"/>
    </xf>
    <xf numFmtId="4" fontId="0" fillId="3" borderId="40" xfId="0" applyNumberFormat="1" applyFill="1" applyBorder="1" applyProtection="1"/>
    <xf numFmtId="4" fontId="0" fillId="12" borderId="40" xfId="0" applyNumberFormat="1" applyFill="1" applyBorder="1" applyProtection="1"/>
    <xf numFmtId="4" fontId="0" fillId="0" borderId="40" xfId="0" applyNumberFormat="1" applyFill="1" applyBorder="1" applyProtection="1">
      <protection locked="0"/>
    </xf>
    <xf numFmtId="0" fontId="10" fillId="12" borderId="56" xfId="5" applyFont="1" applyFill="1" applyBorder="1" applyAlignment="1" applyProtection="1">
      <alignment horizontal="left" vertical="center" indent="2"/>
    </xf>
    <xf numFmtId="44" fontId="22" fillId="13" borderId="20" xfId="5" applyNumberFormat="1" applyFont="1" applyFill="1" applyBorder="1" applyAlignment="1" applyProtection="1">
      <alignment vertical="center" wrapText="1"/>
    </xf>
    <xf numFmtId="10" fontId="17" fillId="12" borderId="22" xfId="2" applyNumberFormat="1" applyFont="1" applyFill="1" applyBorder="1" applyAlignment="1" applyProtection="1">
      <alignment vertical="center" wrapText="1"/>
    </xf>
    <xf numFmtId="4" fontId="0" fillId="12" borderId="20" xfId="0" applyNumberFormat="1" applyFill="1" applyBorder="1" applyProtection="1"/>
    <xf numFmtId="4" fontId="0" fillId="12" borderId="21" xfId="0" applyNumberFormat="1" applyFill="1" applyBorder="1" applyProtection="1"/>
    <xf numFmtId="0" fontId="13" fillId="0" borderId="0" xfId="5" applyFont="1" applyFill="1" applyBorder="1" applyAlignment="1" applyProtection="1">
      <alignment vertical="center"/>
    </xf>
    <xf numFmtId="0" fontId="10" fillId="0" borderId="0" xfId="5" applyFont="1" applyFill="1" applyBorder="1" applyAlignment="1" applyProtection="1">
      <alignment vertical="center" wrapText="1"/>
    </xf>
    <xf numFmtId="0" fontId="8" fillId="11" borderId="35" xfId="5" applyFont="1" applyFill="1" applyBorder="1" applyAlignment="1" applyProtection="1">
      <alignment horizontal="right" vertical="center" wrapText="1"/>
    </xf>
    <xf numFmtId="0" fontId="14" fillId="11" borderId="36" xfId="5" applyFont="1" applyFill="1" applyBorder="1" applyAlignment="1" applyProtection="1">
      <alignment horizontal="right" vertical="center" wrapText="1"/>
    </xf>
    <xf numFmtId="10" fontId="10" fillId="3" borderId="40" xfId="2" applyNumberFormat="1" applyFont="1" applyFill="1" applyBorder="1" applyAlignment="1" applyProtection="1">
      <alignment vertical="center" wrapText="1"/>
    </xf>
    <xf numFmtId="44" fontId="32" fillId="0" borderId="39" xfId="5" applyNumberFormat="1" applyFont="1" applyFill="1" applyBorder="1" applyAlignment="1" applyProtection="1">
      <alignment horizontal="right" vertical="center" wrapText="1"/>
    </xf>
    <xf numFmtId="0" fontId="32" fillId="0" borderId="39" xfId="5" applyFont="1" applyFill="1" applyBorder="1" applyAlignment="1" applyProtection="1">
      <alignment horizontal="left" vertical="center" wrapText="1"/>
    </xf>
    <xf numFmtId="0" fontId="32" fillId="0" borderId="39" xfId="5" applyFont="1" applyFill="1" applyBorder="1" applyAlignment="1" applyProtection="1">
      <alignment horizontal="center" vertical="center" wrapText="1"/>
    </xf>
    <xf numFmtId="0" fontId="32" fillId="0" borderId="39" xfId="5" applyFont="1" applyFill="1" applyBorder="1" applyAlignment="1" applyProtection="1">
      <alignment horizontal="left" vertical="center" wrapText="1"/>
      <protection locked="0"/>
    </xf>
    <xf numFmtId="44" fontId="32" fillId="0" borderId="39" xfId="5" applyNumberFormat="1" applyFont="1" applyFill="1" applyBorder="1" applyAlignment="1" applyProtection="1">
      <alignment horizontal="left" vertical="center" wrapText="1"/>
    </xf>
    <xf numFmtId="44" fontId="7" fillId="0" borderId="39" xfId="5" applyNumberFormat="1" applyFont="1" applyFill="1" applyBorder="1" applyAlignment="1" applyProtection="1">
      <alignment horizontal="right" vertical="center" wrapText="1"/>
    </xf>
    <xf numFmtId="44" fontId="16" fillId="3" borderId="39" xfId="7" applyFont="1" applyFill="1" applyBorder="1" applyAlignment="1" applyProtection="1">
      <alignment horizontal="right" vertical="center" wrapText="1"/>
    </xf>
    <xf numFmtId="10" fontId="10" fillId="3" borderId="21" xfId="2" applyNumberFormat="1" applyFont="1" applyFill="1" applyBorder="1" applyAlignment="1" applyProtection="1">
      <alignment vertical="center" wrapText="1"/>
    </xf>
    <xf numFmtId="0" fontId="9" fillId="0" borderId="0" xfId="5" applyFont="1" applyFill="1" applyBorder="1" applyAlignment="1" applyProtection="1">
      <alignment vertical="center" wrapText="1"/>
    </xf>
    <xf numFmtId="0" fontId="9" fillId="0" borderId="0" xfId="5" applyFont="1" applyFill="1" applyBorder="1" applyAlignment="1" applyProtection="1">
      <alignment vertical="center" wrapText="1"/>
    </xf>
    <xf numFmtId="44" fontId="7" fillId="0" borderId="0" xfId="5" applyNumberFormat="1" applyFont="1" applyFill="1" applyBorder="1" applyAlignment="1" applyProtection="1">
      <alignment horizontal="right" vertical="center" wrapText="1"/>
    </xf>
    <xf numFmtId="44" fontId="16" fillId="0" borderId="0" xfId="7" applyFont="1" applyFill="1" applyBorder="1" applyAlignment="1" applyProtection="1">
      <alignment horizontal="right" vertical="center" wrapText="1"/>
    </xf>
    <xf numFmtId="0" fontId="7" fillId="0" borderId="0" xfId="5" applyFont="1" applyFill="1" applyBorder="1" applyAlignment="1" applyProtection="1">
      <alignment horizontal="left" vertical="center" wrapText="1"/>
    </xf>
    <xf numFmtId="49" fontId="16" fillId="0" borderId="0" xfId="5" applyNumberFormat="1" applyFont="1" applyFill="1" applyBorder="1" applyAlignment="1" applyProtection="1">
      <alignment horizontal="left" vertical="center" wrapText="1"/>
    </xf>
    <xf numFmtId="0" fontId="9" fillId="0" borderId="39" xfId="5" applyFont="1" applyFill="1" applyBorder="1" applyAlignment="1" applyProtection="1">
      <alignment vertical="center" wrapText="1"/>
    </xf>
    <xf numFmtId="0" fontId="12" fillId="3" borderId="39" xfId="5" applyFont="1" applyFill="1" applyBorder="1" applyAlignment="1" applyProtection="1">
      <alignment vertical="center" wrapText="1"/>
    </xf>
    <xf numFmtId="0" fontId="9" fillId="0" borderId="0" xfId="5" applyFont="1" applyFill="1" applyBorder="1" applyAlignment="1" applyProtection="1">
      <alignment vertical="center" wrapText="1"/>
    </xf>
    <xf numFmtId="0" fontId="12" fillId="17" borderId="0" xfId="5" applyFont="1" applyFill="1" applyBorder="1" applyAlignment="1" applyProtection="1">
      <alignment horizontal="center" vertical="center" wrapText="1"/>
    </xf>
    <xf numFmtId="44" fontId="4" fillId="0" borderId="40" xfId="7" applyFont="1" applyFill="1" applyBorder="1" applyAlignment="1" applyProtection="1">
      <alignment horizontal="right" vertical="center" wrapText="1"/>
      <protection locked="0"/>
    </xf>
    <xf numFmtId="44" fontId="31" fillId="0" borderId="40" xfId="7" applyFont="1" applyFill="1" applyBorder="1" applyAlignment="1" applyProtection="1">
      <alignment horizontal="right" vertical="center" wrapText="1"/>
      <protection locked="0"/>
    </xf>
    <xf numFmtId="0" fontId="12" fillId="3" borderId="11" xfId="5" applyNumberFormat="1" applyFont="1" applyFill="1" applyBorder="1" applyAlignment="1">
      <alignment horizontal="center" vertical="center" wrapText="1"/>
    </xf>
    <xf numFmtId="0" fontId="9" fillId="0" borderId="0" xfId="5" applyFont="1" applyFill="1" applyBorder="1" applyAlignment="1" applyProtection="1">
      <alignment vertical="center" wrapText="1"/>
    </xf>
    <xf numFmtId="0" fontId="12" fillId="17" borderId="0" xfId="5" applyFont="1" applyFill="1" applyBorder="1" applyAlignment="1" applyProtection="1">
      <alignment horizontal="center" vertical="center" wrapText="1"/>
    </xf>
    <xf numFmtId="0" fontId="10" fillId="12" borderId="13" xfId="5" applyFont="1" applyFill="1" applyBorder="1" applyAlignment="1" applyProtection="1">
      <alignment horizontal="left" vertical="center" wrapText="1" indent="2"/>
    </xf>
    <xf numFmtId="0" fontId="9" fillId="0" borderId="0" xfId="5" applyFont="1" applyFill="1" applyBorder="1" applyAlignment="1" applyProtection="1">
      <alignment vertical="center" wrapText="1"/>
    </xf>
    <xf numFmtId="44" fontId="7" fillId="3" borderId="6" xfId="6" applyFont="1" applyFill="1" applyBorder="1" applyAlignment="1" applyProtection="1">
      <alignment horizontal="center" vertical="center" wrapText="1"/>
      <protection hidden="1"/>
    </xf>
    <xf numFmtId="44" fontId="22" fillId="0" borderId="0" xfId="6" applyFont="1" applyFill="1" applyBorder="1" applyAlignment="1" applyProtection="1">
      <alignment horizontal="right" vertical="center" wrapText="1"/>
      <protection hidden="1"/>
    </xf>
    <xf numFmtId="44" fontId="22" fillId="14" borderId="39" xfId="6" applyFont="1" applyFill="1" applyBorder="1" applyAlignment="1" applyProtection="1">
      <alignment vertical="center" wrapText="1"/>
      <protection hidden="1"/>
    </xf>
    <xf numFmtId="0" fontId="18" fillId="0" borderId="0" xfId="5" applyFont="1" applyFill="1" applyBorder="1" applyAlignment="1" applyProtection="1">
      <alignment horizontal="center" vertical="center" wrapText="1"/>
      <protection hidden="1"/>
    </xf>
    <xf numFmtId="0" fontId="18" fillId="0" borderId="0" xfId="5" applyFont="1" applyFill="1" applyBorder="1" applyAlignment="1" applyProtection="1">
      <alignment horizontal="center" vertical="center"/>
      <protection hidden="1"/>
    </xf>
    <xf numFmtId="0" fontId="12" fillId="0" borderId="0" xfId="5" applyFont="1" applyFill="1" applyBorder="1" applyAlignment="1" applyProtection="1">
      <alignment horizontal="center" vertical="center" wrapText="1"/>
      <protection hidden="1"/>
    </xf>
    <xf numFmtId="0" fontId="7" fillId="0" borderId="0" xfId="5" applyFont="1" applyFill="1" applyBorder="1" applyAlignment="1" applyProtection="1">
      <alignment horizontal="center" vertical="center" wrapText="1"/>
      <protection hidden="1"/>
    </xf>
    <xf numFmtId="0" fontId="7" fillId="0" borderId="0" xfId="5" applyFont="1" applyFill="1" applyBorder="1" applyAlignment="1" applyProtection="1">
      <alignment horizontal="left" vertical="center" wrapText="1"/>
      <protection hidden="1"/>
    </xf>
    <xf numFmtId="0" fontId="7" fillId="0" borderId="0" xfId="5" applyFont="1" applyFill="1" applyBorder="1" applyAlignment="1" applyProtection="1">
      <alignment horizontal="left" vertical="center" wrapText="1"/>
      <protection locked="0"/>
    </xf>
    <xf numFmtId="0" fontId="10" fillId="0" borderId="8" xfId="5" applyFont="1" applyFill="1" applyBorder="1" applyAlignment="1" applyProtection="1">
      <alignment vertical="center" wrapText="1"/>
    </xf>
    <xf numFmtId="0" fontId="9" fillId="0" borderId="0" xfId="5" applyFont="1" applyFill="1" applyBorder="1" applyAlignment="1" applyProtection="1">
      <alignment horizontal="center" vertical="center" wrapText="1"/>
    </xf>
    <xf numFmtId="0" fontId="11" fillId="0" borderId="0" xfId="5" applyFont="1" applyFill="1" applyBorder="1" applyAlignment="1" applyProtection="1">
      <alignment horizontal="center" vertical="center" wrapText="1"/>
    </xf>
    <xf numFmtId="0" fontId="12" fillId="17" borderId="0" xfId="5" applyFont="1" applyFill="1" applyBorder="1" applyAlignment="1" applyProtection="1">
      <alignment horizontal="left" vertical="center" wrapText="1"/>
    </xf>
    <xf numFmtId="0" fontId="7" fillId="17" borderId="0" xfId="0" applyFont="1" applyFill="1" applyBorder="1" applyAlignment="1" applyProtection="1">
      <alignment horizontal="left" wrapText="1"/>
    </xf>
    <xf numFmtId="0" fontId="4" fillId="0" borderId="0" xfId="0" applyFont="1" applyBorder="1" applyAlignment="1" applyProtection="1">
      <alignment wrapText="1"/>
    </xf>
    <xf numFmtId="0" fontId="10" fillId="0" borderId="0" xfId="5" applyFont="1" applyFill="1" applyAlignment="1" applyProtection="1">
      <alignment vertical="center" wrapText="1"/>
    </xf>
    <xf numFmtId="0" fontId="8" fillId="11" borderId="6" xfId="5" applyFont="1" applyFill="1" applyBorder="1" applyAlignment="1" applyProtection="1">
      <alignment horizontal="center" vertical="center" wrapText="1"/>
    </xf>
    <xf numFmtId="0" fontId="14" fillId="11" borderId="12" xfId="5" applyFont="1" applyFill="1" applyBorder="1" applyAlignment="1" applyProtection="1">
      <alignment horizontal="right" vertical="center" wrapText="1"/>
    </xf>
    <xf numFmtId="0" fontId="14" fillId="0" borderId="14" xfId="5" applyFont="1" applyFill="1" applyBorder="1" applyAlignment="1" applyProtection="1">
      <alignment horizontal="right" vertical="center" wrapText="1"/>
    </xf>
    <xf numFmtId="0" fontId="14" fillId="11" borderId="6" xfId="5" applyFont="1" applyFill="1" applyBorder="1" applyAlignment="1" applyProtection="1">
      <alignment horizontal="right" vertical="center" wrapText="1"/>
    </xf>
    <xf numFmtId="0" fontId="14" fillId="11" borderId="39" xfId="5" applyFont="1" applyFill="1" applyBorder="1" applyAlignment="1" applyProtection="1">
      <alignment horizontal="right" vertical="center" wrapText="1"/>
    </xf>
    <xf numFmtId="0" fontId="14" fillId="0" borderId="0" xfId="5" applyFont="1" applyFill="1" applyBorder="1" applyAlignment="1" applyProtection="1">
      <alignment horizontal="right" vertical="center" wrapText="1"/>
    </xf>
    <xf numFmtId="0" fontId="15" fillId="11" borderId="39" xfId="5" applyFont="1" applyFill="1" applyBorder="1" applyAlignment="1" applyProtection="1">
      <alignment horizontal="center" vertical="center" wrapText="1"/>
    </xf>
    <xf numFmtId="0" fontId="15" fillId="11" borderId="10" xfId="5" applyFont="1" applyFill="1" applyBorder="1" applyAlignment="1" applyProtection="1">
      <alignment horizontal="center" vertical="center" wrapText="1"/>
    </xf>
    <xf numFmtId="0" fontId="14" fillId="11" borderId="6" xfId="5" applyFont="1" applyFill="1" applyBorder="1" applyAlignment="1" applyProtection="1">
      <alignment horizontal="center" vertical="center" wrapText="1"/>
    </xf>
    <xf numFmtId="0" fontId="15" fillId="11" borderId="6" xfId="5" applyFont="1" applyFill="1" applyBorder="1" applyAlignment="1" applyProtection="1">
      <alignment horizontal="center" vertical="center" wrapText="1"/>
    </xf>
    <xf numFmtId="9" fontId="17" fillId="0" borderId="14" xfId="2" applyFont="1" applyFill="1" applyBorder="1" applyAlignment="1" applyProtection="1">
      <alignment vertical="center" wrapText="1"/>
    </xf>
    <xf numFmtId="10" fontId="17" fillId="3" borderId="6" xfId="2" applyNumberFormat="1" applyFont="1" applyFill="1" applyBorder="1" applyAlignment="1" applyProtection="1">
      <alignment vertical="center" wrapText="1"/>
    </xf>
    <xf numFmtId="10" fontId="17" fillId="3" borderId="39" xfId="2" applyNumberFormat="1" applyFont="1" applyFill="1" applyBorder="1" applyAlignment="1" applyProtection="1">
      <alignment vertical="center" wrapText="1"/>
    </xf>
    <xf numFmtId="10" fontId="17" fillId="0" borderId="0" xfId="2" applyNumberFormat="1" applyFont="1" applyFill="1" applyBorder="1" applyAlignment="1" applyProtection="1">
      <alignment vertical="center" wrapText="1"/>
    </xf>
    <xf numFmtId="44" fontId="18" fillId="3" borderId="39" xfId="5" applyNumberFormat="1" applyFont="1" applyFill="1" applyBorder="1" applyAlignment="1" applyProtection="1">
      <alignment horizontal="center" vertical="center" wrapText="1"/>
    </xf>
    <xf numFmtId="44" fontId="18" fillId="3" borderId="1" xfId="5" applyNumberFormat="1" applyFont="1" applyFill="1" applyBorder="1" applyAlignment="1" applyProtection="1">
      <alignment horizontal="center" vertical="center" wrapText="1"/>
    </xf>
    <xf numFmtId="44" fontId="18" fillId="3" borderId="11" xfId="5" applyNumberFormat="1" applyFont="1" applyFill="1" applyBorder="1" applyAlignment="1" applyProtection="1">
      <alignment horizontal="center" vertical="center" wrapText="1"/>
    </xf>
    <xf numFmtId="44" fontId="19" fillId="12" borderId="39" xfId="5" applyNumberFormat="1" applyFont="1" applyFill="1" applyBorder="1" applyAlignment="1" applyProtection="1">
      <alignment vertical="center" wrapText="1"/>
    </xf>
    <xf numFmtId="9" fontId="10" fillId="0" borderId="14" xfId="2" applyFont="1" applyFill="1" applyBorder="1" applyAlignment="1" applyProtection="1">
      <alignment vertical="center" wrapText="1"/>
    </xf>
    <xf numFmtId="10" fontId="17" fillId="12" borderId="6" xfId="2" applyNumberFormat="1" applyFont="1" applyFill="1" applyBorder="1" applyAlignment="1" applyProtection="1">
      <alignment vertical="center" wrapText="1"/>
    </xf>
    <xf numFmtId="44" fontId="17" fillId="12" borderId="12" xfId="5" applyNumberFormat="1" applyFont="1" applyFill="1" applyBorder="1" applyAlignment="1" applyProtection="1">
      <alignment vertical="center" wrapText="1"/>
    </xf>
    <xf numFmtId="10" fontId="17" fillId="12" borderId="39" xfId="2" applyNumberFormat="1" applyFont="1" applyFill="1" applyBorder="1" applyAlignment="1" applyProtection="1">
      <alignment vertical="center" wrapText="1"/>
    </xf>
    <xf numFmtId="44" fontId="6" fillId="12" borderId="39" xfId="5" applyNumberFormat="1" applyFont="1" applyFill="1" applyBorder="1" applyAlignment="1" applyProtection="1">
      <alignment horizontal="center" vertical="center" wrapText="1"/>
    </xf>
    <xf numFmtId="44" fontId="6" fillId="12" borderId="11" xfId="5" applyNumberFormat="1" applyFont="1" applyFill="1" applyBorder="1" applyAlignment="1" applyProtection="1">
      <alignment horizontal="center" vertical="center" wrapText="1"/>
    </xf>
    <xf numFmtId="10" fontId="10" fillId="12" borderId="6" xfId="2" applyNumberFormat="1" applyFont="1" applyFill="1" applyBorder="1" applyAlignment="1" applyProtection="1">
      <alignment vertical="center" wrapText="1"/>
    </xf>
    <xf numFmtId="44" fontId="10" fillId="12" borderId="12" xfId="5" applyNumberFormat="1" applyFont="1" applyFill="1" applyBorder="1" applyAlignment="1" applyProtection="1">
      <alignment vertical="center" wrapText="1"/>
    </xf>
    <xf numFmtId="10" fontId="10" fillId="12" borderId="39" xfId="2" applyNumberFormat="1" applyFont="1" applyFill="1" applyBorder="1" applyAlignment="1" applyProtection="1">
      <alignment vertical="center" wrapText="1"/>
    </xf>
    <xf numFmtId="10" fontId="10" fillId="0" borderId="0" xfId="2" applyNumberFormat="1" applyFont="1" applyFill="1" applyBorder="1" applyAlignment="1" applyProtection="1">
      <alignment vertical="center" wrapText="1"/>
    </xf>
    <xf numFmtId="44" fontId="20" fillId="12" borderId="39" xfId="5" applyNumberFormat="1" applyFont="1" applyFill="1" applyBorder="1" applyAlignment="1" applyProtection="1">
      <alignment horizontal="center" vertical="center" wrapText="1"/>
    </xf>
    <xf numFmtId="44" fontId="20" fillId="12" borderId="11" xfId="5" applyNumberFormat="1" applyFont="1" applyFill="1" applyBorder="1" applyAlignment="1" applyProtection="1">
      <alignment horizontal="center" vertical="center" wrapText="1"/>
    </xf>
    <xf numFmtId="44" fontId="19" fillId="3" borderId="39" xfId="5" applyNumberFormat="1" applyFont="1" applyFill="1" applyBorder="1" applyAlignment="1" applyProtection="1">
      <alignment vertical="center" wrapText="1"/>
    </xf>
    <xf numFmtId="44" fontId="17" fillId="3" borderId="12" xfId="5" applyNumberFormat="1" applyFont="1" applyFill="1" applyBorder="1" applyAlignment="1" applyProtection="1">
      <alignment vertical="center" wrapText="1"/>
    </xf>
    <xf numFmtId="44" fontId="6" fillId="3" borderId="39" xfId="5" applyNumberFormat="1" applyFont="1" applyFill="1" applyBorder="1" applyAlignment="1" applyProtection="1">
      <alignment horizontal="center" vertical="center" wrapText="1"/>
    </xf>
    <xf numFmtId="44" fontId="6" fillId="3" borderId="11" xfId="5" applyNumberFormat="1" applyFont="1" applyFill="1" applyBorder="1" applyAlignment="1" applyProtection="1">
      <alignment horizontal="center" vertical="center" wrapText="1"/>
    </xf>
    <xf numFmtId="0" fontId="10" fillId="12" borderId="12" xfId="5" applyFont="1" applyFill="1" applyBorder="1" applyAlignment="1" applyProtection="1">
      <alignment horizontal="left" vertical="center" wrapText="1" indent="2"/>
    </xf>
    <xf numFmtId="44" fontId="20" fillId="12" borderId="6" xfId="5" applyNumberFormat="1" applyFont="1" applyFill="1" applyBorder="1" applyAlignment="1" applyProtection="1">
      <alignment horizontal="center" vertical="center" wrapText="1"/>
    </xf>
    <xf numFmtId="0" fontId="16" fillId="3" borderId="12" xfId="5" applyFont="1" applyFill="1" applyBorder="1" applyAlignment="1" applyProtection="1">
      <alignment vertical="center" wrapText="1"/>
    </xf>
    <xf numFmtId="44" fontId="16" fillId="3" borderId="39" xfId="5" applyNumberFormat="1" applyFont="1" applyFill="1" applyBorder="1" applyAlignment="1" applyProtection="1">
      <alignment vertical="center" wrapText="1"/>
    </xf>
    <xf numFmtId="44" fontId="22" fillId="12" borderId="6" xfId="5" applyNumberFormat="1" applyFont="1" applyFill="1" applyBorder="1" applyAlignment="1" applyProtection="1">
      <alignment vertical="center" wrapText="1"/>
    </xf>
    <xf numFmtId="10" fontId="17" fillId="12" borderId="12" xfId="2" applyNumberFormat="1" applyFont="1" applyFill="1" applyBorder="1" applyAlignment="1" applyProtection="1">
      <alignment vertical="center" wrapText="1"/>
    </xf>
    <xf numFmtId="44" fontId="22" fillId="12" borderId="39" xfId="5" applyNumberFormat="1" applyFont="1" applyFill="1" applyBorder="1" applyAlignment="1" applyProtection="1">
      <alignment vertical="center" wrapText="1"/>
    </xf>
    <xf numFmtId="44" fontId="16" fillId="12" borderId="39" xfId="5" applyNumberFormat="1" applyFont="1" applyFill="1" applyBorder="1" applyAlignment="1" applyProtection="1">
      <alignment horizontal="center" vertical="center" wrapText="1"/>
    </xf>
    <xf numFmtId="44" fontId="16" fillId="12" borderId="10" xfId="5" applyNumberFormat="1" applyFont="1" applyFill="1" applyBorder="1" applyAlignment="1" applyProtection="1">
      <alignment horizontal="center" vertical="center" wrapText="1"/>
    </xf>
    <xf numFmtId="44" fontId="16" fillId="12" borderId="6" xfId="5" applyNumberFormat="1" applyFont="1" applyFill="1" applyBorder="1" applyAlignment="1" applyProtection="1">
      <alignment horizontal="center" vertical="center" wrapText="1"/>
    </xf>
    <xf numFmtId="44" fontId="16" fillId="12" borderId="6" xfId="5" applyNumberFormat="1" applyFont="1" applyFill="1" applyBorder="1" applyAlignment="1" applyProtection="1">
      <alignment horizontal="center" vertical="center"/>
    </xf>
    <xf numFmtId="0" fontId="13" fillId="0" borderId="2" xfId="5" applyFont="1" applyFill="1" applyBorder="1" applyAlignment="1" applyProtection="1">
      <alignment vertical="center"/>
    </xf>
    <xf numFmtId="0" fontId="10" fillId="0" borderId="2" xfId="5" applyFont="1" applyFill="1" applyBorder="1" applyAlignment="1" applyProtection="1">
      <alignment vertical="center" wrapText="1"/>
    </xf>
    <xf numFmtId="0" fontId="8" fillId="11" borderId="6" xfId="5" applyFont="1" applyFill="1" applyBorder="1" applyAlignment="1" applyProtection="1">
      <alignment horizontal="right" vertical="center" wrapText="1"/>
    </xf>
    <xf numFmtId="0" fontId="14" fillId="0" borderId="5" xfId="5" applyFont="1" applyFill="1" applyBorder="1" applyAlignment="1" applyProtection="1">
      <alignment horizontal="right" vertical="center" wrapText="1"/>
    </xf>
    <xf numFmtId="0" fontId="15" fillId="11" borderId="39" xfId="5"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3" fillId="2" borderId="0" xfId="5" applyFont="1" applyFill="1" applyAlignment="1" applyProtection="1">
      <alignment vertical="center" wrapText="1"/>
    </xf>
    <xf numFmtId="0" fontId="7" fillId="2" borderId="0" xfId="5" applyFont="1" applyFill="1" applyAlignment="1" applyProtection="1">
      <alignment vertical="center" wrapText="1"/>
    </xf>
    <xf numFmtId="44" fontId="9" fillId="3" borderId="6" xfId="5" applyNumberFormat="1" applyFont="1" applyFill="1" applyBorder="1" applyAlignment="1" applyProtection="1">
      <alignment horizontal="center" vertical="center" wrapText="1"/>
    </xf>
    <xf numFmtId="9" fontId="10" fillId="0" borderId="5" xfId="2" applyFont="1" applyFill="1" applyBorder="1" applyAlignment="1" applyProtection="1">
      <alignment vertical="center" wrapText="1"/>
    </xf>
    <xf numFmtId="44" fontId="9" fillId="3" borderId="39" xfId="5" applyNumberFormat="1" applyFont="1" applyFill="1" applyBorder="1" applyAlignment="1" applyProtection="1">
      <alignment horizontal="center" vertical="center" wrapText="1"/>
    </xf>
    <xf numFmtId="10" fontId="10" fillId="3" borderId="39" xfId="2" applyNumberFormat="1" applyFont="1" applyFill="1" applyBorder="1" applyAlignment="1" applyProtection="1">
      <alignment vertical="center" wrapText="1"/>
    </xf>
    <xf numFmtId="44" fontId="9" fillId="15" borderId="6" xfId="5" applyNumberFormat="1" applyFont="1" applyFill="1" applyBorder="1" applyAlignment="1" applyProtection="1">
      <alignment horizontal="center" vertical="center" wrapText="1"/>
    </xf>
    <xf numFmtId="44" fontId="20" fillId="0" borderId="0" xfId="1" applyNumberFormat="1" applyFont="1" applyFill="1" applyBorder="1" applyAlignment="1" applyProtection="1">
      <alignment vertical="center"/>
    </xf>
    <xf numFmtId="0" fontId="7" fillId="0" borderId="0" xfId="0" applyFont="1" applyFill="1" applyBorder="1" applyAlignment="1" applyProtection="1">
      <alignment horizontal="right" vertical="center"/>
    </xf>
    <xf numFmtId="44" fontId="20" fillId="0" borderId="0" xfId="1" applyFont="1" applyFill="1" applyBorder="1" applyAlignment="1" applyProtection="1">
      <alignment vertical="center"/>
    </xf>
    <xf numFmtId="44" fontId="22" fillId="3" borderId="6" xfId="5" applyNumberFormat="1" applyFont="1" applyFill="1" applyBorder="1" applyAlignment="1" applyProtection="1">
      <alignment vertical="center" wrapText="1"/>
    </xf>
    <xf numFmtId="9" fontId="17" fillId="0" borderId="5" xfId="2" applyFont="1" applyFill="1" applyBorder="1" applyAlignment="1" applyProtection="1">
      <alignment vertical="center" wrapText="1"/>
    </xf>
    <xf numFmtId="0" fontId="10" fillId="2" borderId="0" xfId="5" applyFont="1" applyFill="1" applyAlignment="1" applyProtection="1">
      <alignment vertical="center" wrapText="1"/>
    </xf>
    <xf numFmtId="0" fontId="23" fillId="0" borderId="9" xfId="5" applyFont="1" applyFill="1" applyBorder="1" applyAlignment="1" applyProtection="1">
      <alignment vertical="center" wrapText="1"/>
    </xf>
    <xf numFmtId="0" fontId="23" fillId="0" borderId="8" xfId="5" applyFont="1" applyFill="1" applyBorder="1" applyAlignment="1" applyProtection="1">
      <alignment vertical="center"/>
    </xf>
    <xf numFmtId="0" fontId="23" fillId="0" borderId="8" xfId="5" applyFont="1" applyFill="1" applyBorder="1" applyAlignment="1" applyProtection="1">
      <alignment vertical="center" wrapText="1"/>
    </xf>
    <xf numFmtId="0" fontId="24" fillId="0" borderId="8" xfId="5" applyFont="1" applyFill="1" applyBorder="1" applyAlignment="1" applyProtection="1">
      <alignment vertical="center" wrapText="1"/>
    </xf>
    <xf numFmtId="0" fontId="23" fillId="0" borderId="7" xfId="5" applyFont="1" applyFill="1" applyBorder="1" applyAlignment="1" applyProtection="1">
      <alignment vertical="center" wrapText="1"/>
    </xf>
    <xf numFmtId="0" fontId="23" fillId="0" borderId="5" xfId="5" applyFont="1" applyFill="1" applyBorder="1" applyAlignment="1" applyProtection="1">
      <alignment vertical="center" wrapText="1"/>
    </xf>
    <xf numFmtId="0" fontId="8" fillId="11" borderId="39" xfId="5" applyFont="1" applyFill="1" applyBorder="1" applyAlignment="1" applyProtection="1">
      <alignment horizontal="center" vertical="center" wrapText="1"/>
    </xf>
    <xf numFmtId="0" fontId="24" fillId="0" borderId="0" xfId="5" applyFont="1" applyFill="1" applyBorder="1" applyAlignment="1" applyProtection="1">
      <alignment vertical="center" wrapText="1"/>
    </xf>
    <xf numFmtId="0" fontId="23" fillId="0" borderId="0" xfId="5" applyFont="1" applyFill="1" applyBorder="1" applyAlignment="1" applyProtection="1">
      <alignment vertical="center" wrapText="1"/>
    </xf>
    <xf numFmtId="0" fontId="23" fillId="0" borderId="4" xfId="5" applyFont="1" applyFill="1" applyBorder="1" applyAlignment="1" applyProtection="1">
      <alignment vertical="center" wrapText="1"/>
    </xf>
    <xf numFmtId="0" fontId="10" fillId="12" borderId="12" xfId="5" applyFont="1" applyFill="1" applyBorder="1" applyAlignment="1" applyProtection="1">
      <alignment horizontal="left" vertical="center" indent="2"/>
    </xf>
    <xf numFmtId="44" fontId="17" fillId="3" borderId="11" xfId="5" applyNumberFormat="1" applyFont="1" applyFill="1" applyBorder="1" applyAlignment="1" applyProtection="1">
      <alignment horizontal="left" vertical="center" wrapText="1"/>
    </xf>
    <xf numFmtId="0" fontId="9" fillId="3" borderId="19" xfId="5" applyFont="1" applyFill="1" applyBorder="1" applyAlignment="1" applyProtection="1">
      <alignment horizontal="center" vertical="center" wrapText="1"/>
    </xf>
    <xf numFmtId="0" fontId="16" fillId="3" borderId="56" xfId="5" applyFont="1" applyFill="1" applyBorder="1" applyAlignment="1" applyProtection="1">
      <alignment vertical="center" wrapText="1"/>
    </xf>
    <xf numFmtId="0" fontId="10" fillId="12" borderId="56" xfId="5" applyFont="1" applyFill="1" applyBorder="1" applyAlignment="1" applyProtection="1">
      <alignment horizontal="left" vertical="center" wrapText="1" indent="2"/>
    </xf>
    <xf numFmtId="0" fontId="10" fillId="12" borderId="13" xfId="5" applyFont="1" applyFill="1" applyBorder="1" applyAlignment="1" applyProtection="1">
      <alignment horizontal="left" vertical="center" wrapText="1" indent="2"/>
    </xf>
    <xf numFmtId="0" fontId="10" fillId="12" borderId="10" xfId="5" applyFont="1" applyFill="1" applyBorder="1" applyAlignment="1" applyProtection="1">
      <alignment horizontal="left" vertical="center" wrapText="1" indent="2"/>
    </xf>
    <xf numFmtId="0" fontId="12" fillId="3" borderId="56" xfId="5" applyFont="1" applyFill="1" applyBorder="1" applyAlignment="1" applyProtection="1">
      <alignment horizontal="left" vertical="center" wrapText="1"/>
    </xf>
    <xf numFmtId="0" fontId="11" fillId="0" borderId="0" xfId="5" applyFont="1" applyFill="1" applyBorder="1" applyAlignment="1" applyProtection="1">
      <alignment horizontal="center" vertical="center" wrapText="1"/>
    </xf>
    <xf numFmtId="0" fontId="9" fillId="0" borderId="0" xfId="5" applyFont="1" applyFill="1" applyBorder="1" applyAlignment="1" applyProtection="1">
      <alignment vertical="center" wrapText="1"/>
    </xf>
    <xf numFmtId="0" fontId="26" fillId="17" borderId="0" xfId="5" applyFont="1" applyFill="1" applyBorder="1" applyAlignment="1" applyProtection="1">
      <alignment horizontal="center" vertical="center" wrapText="1"/>
    </xf>
    <xf numFmtId="0" fontId="12" fillId="17" borderId="0" xfId="5" applyFont="1" applyFill="1" applyBorder="1" applyAlignment="1" applyProtection="1">
      <alignment horizontal="center" vertical="center" wrapText="1"/>
    </xf>
    <xf numFmtId="10" fontId="10" fillId="3" borderId="39" xfId="5" applyNumberFormat="1" applyFont="1" applyFill="1" applyBorder="1" applyAlignment="1" applyProtection="1">
      <alignment vertical="center" wrapText="1"/>
    </xf>
    <xf numFmtId="10" fontId="10" fillId="12" borderId="39" xfId="5" applyNumberFormat="1" applyFont="1" applyFill="1" applyBorder="1" applyAlignment="1" applyProtection="1">
      <alignment vertical="center" wrapText="1"/>
    </xf>
    <xf numFmtId="0" fontId="30" fillId="0" borderId="39" xfId="5" applyFont="1" applyFill="1" applyBorder="1" applyAlignment="1" applyProtection="1">
      <alignment horizontal="center" vertical="center" wrapText="1"/>
      <protection locked="0"/>
    </xf>
    <xf numFmtId="0" fontId="27" fillId="7" borderId="25" xfId="5" applyFont="1" applyFill="1" applyBorder="1" applyAlignment="1" applyProtection="1">
      <alignment vertical="top" wrapText="1"/>
    </xf>
    <xf numFmtId="44" fontId="28" fillId="6" borderId="11" xfId="5" applyNumberFormat="1" applyFont="1" applyFill="1" applyBorder="1" applyAlignment="1" applyProtection="1">
      <alignment horizontal="right" vertical="center" wrapText="1"/>
    </xf>
    <xf numFmtId="0" fontId="12" fillId="3" borderId="1" xfId="5" applyNumberFormat="1" applyFont="1" applyFill="1" applyBorder="1" applyAlignment="1">
      <alignment horizontal="center" vertical="center" wrapText="1"/>
    </xf>
    <xf numFmtId="0" fontId="18" fillId="5" borderId="11" xfId="5" applyFont="1" applyFill="1" applyBorder="1" applyAlignment="1" applyProtection="1">
      <alignment horizontal="center" vertical="center" wrapText="1"/>
    </xf>
    <xf numFmtId="0" fontId="18" fillId="4" borderId="11" xfId="5" applyFont="1" applyFill="1" applyBorder="1" applyAlignment="1" applyProtection="1">
      <alignment horizontal="center" vertical="center" wrapText="1"/>
    </xf>
    <xf numFmtId="0" fontId="18" fillId="5" borderId="11" xfId="5" applyFont="1" applyFill="1" applyBorder="1" applyAlignment="1" applyProtection="1">
      <alignment horizontal="center" vertical="center"/>
    </xf>
    <xf numFmtId="0" fontId="18" fillId="5" borderId="11" xfId="5" applyFont="1" applyFill="1" applyBorder="1" applyAlignment="1" applyProtection="1">
      <alignment horizontal="center" vertical="center" wrapText="1"/>
      <protection hidden="1"/>
    </xf>
    <xf numFmtId="0" fontId="12" fillId="10" borderId="11" xfId="5" applyFont="1" applyFill="1" applyBorder="1" applyAlignment="1" applyProtection="1">
      <alignment horizontal="center" vertical="center" wrapText="1"/>
    </xf>
    <xf numFmtId="0" fontId="9" fillId="3" borderId="10" xfId="5" applyFont="1" applyFill="1" applyBorder="1" applyAlignment="1" applyProtection="1">
      <alignment horizontal="center" vertical="center" wrapText="1"/>
    </xf>
    <xf numFmtId="0" fontId="7" fillId="3" borderId="12" xfId="5" applyFont="1" applyFill="1" applyBorder="1" applyAlignment="1" applyProtection="1">
      <alignment horizontal="left" vertical="center" wrapText="1"/>
    </xf>
    <xf numFmtId="0" fontId="7" fillId="3" borderId="12" xfId="5" applyFont="1" applyFill="1" applyBorder="1" applyAlignment="1" applyProtection="1">
      <alignment horizontal="left" vertical="center" wrapText="1"/>
      <protection locked="0"/>
    </xf>
    <xf numFmtId="0" fontId="32" fillId="3" borderId="12" xfId="5" applyFont="1" applyFill="1" applyBorder="1" applyAlignment="1" applyProtection="1">
      <alignment horizontal="left" vertical="center" wrapText="1"/>
      <protection locked="0"/>
    </xf>
    <xf numFmtId="0" fontId="9" fillId="0" borderId="15" xfId="5" applyFont="1" applyFill="1" applyBorder="1" applyAlignment="1" applyProtection="1">
      <alignment horizontal="center" vertical="center" wrapText="1"/>
      <protection locked="0"/>
    </xf>
    <xf numFmtId="49" fontId="9" fillId="0" borderId="15" xfId="5" applyNumberFormat="1" applyFont="1" applyFill="1" applyBorder="1" applyAlignment="1" applyProtection="1">
      <alignment horizontal="center" vertical="center" wrapText="1"/>
      <protection locked="0"/>
    </xf>
    <xf numFmtId="44" fontId="7" fillId="0" borderId="15" xfId="5" applyNumberFormat="1" applyFont="1" applyBorder="1" applyAlignment="1" applyProtection="1">
      <alignment horizontal="right" vertical="center" wrapText="1"/>
    </xf>
    <xf numFmtId="0" fontId="7" fillId="0" borderId="15" xfId="5" applyFont="1" applyBorder="1" applyAlignment="1" applyProtection="1">
      <alignment horizontal="left" vertical="center" wrapText="1"/>
    </xf>
    <xf numFmtId="0" fontId="7" fillId="0" borderId="15" xfId="5" applyFont="1" applyBorder="1" applyAlignment="1" applyProtection="1">
      <alignment horizontal="center" vertical="center" wrapText="1"/>
    </xf>
    <xf numFmtId="0" fontId="7" fillId="0" borderId="15" xfId="5" applyFont="1" applyBorder="1" applyAlignment="1" applyProtection="1">
      <alignment horizontal="left" vertical="center" wrapText="1"/>
      <protection locked="0"/>
    </xf>
    <xf numFmtId="44" fontId="7" fillId="0" borderId="15" xfId="5" applyNumberFormat="1" applyFont="1" applyBorder="1" applyAlignment="1" applyProtection="1">
      <alignment horizontal="left" vertical="center" wrapText="1"/>
    </xf>
    <xf numFmtId="0" fontId="7" fillId="3" borderId="9" xfId="5" applyFont="1" applyFill="1" applyBorder="1" applyAlignment="1" applyProtection="1">
      <alignment horizontal="left" vertical="center" wrapText="1"/>
      <protection locked="0"/>
    </xf>
    <xf numFmtId="0" fontId="18" fillId="5" borderId="1" xfId="5" applyFont="1" applyFill="1" applyBorder="1" applyAlignment="1" applyProtection="1">
      <alignment horizontal="center" vertical="center" wrapText="1"/>
    </xf>
    <xf numFmtId="49" fontId="9" fillId="0" borderId="10" xfId="5" applyNumberFormat="1" applyFont="1" applyFill="1" applyBorder="1" applyAlignment="1" applyProtection="1">
      <alignment horizontal="center" vertical="center" wrapText="1"/>
    </xf>
    <xf numFmtId="49" fontId="30" fillId="0" borderId="10" xfId="5" applyNumberFormat="1" applyFont="1" applyFill="1" applyBorder="1" applyAlignment="1" applyProtection="1">
      <alignment horizontal="center" vertical="center" wrapText="1"/>
    </xf>
    <xf numFmtId="49" fontId="9" fillId="0" borderId="7" xfId="5" applyNumberFormat="1" applyFont="1" applyFill="1" applyBorder="1" applyAlignment="1" applyProtection="1">
      <alignment horizontal="center" vertical="center" wrapText="1"/>
    </xf>
    <xf numFmtId="0" fontId="27" fillId="7" borderId="58" xfId="5" applyFont="1" applyFill="1" applyBorder="1" applyAlignment="1" applyProtection="1">
      <alignment vertical="top" wrapText="1"/>
    </xf>
    <xf numFmtId="0" fontId="9" fillId="3" borderId="7" xfId="5" applyFont="1" applyFill="1" applyBorder="1" applyAlignment="1" applyProtection="1">
      <alignment horizontal="center" vertical="center" wrapText="1"/>
    </xf>
    <xf numFmtId="0" fontId="26" fillId="18" borderId="15" xfId="5" applyFont="1" applyFill="1" applyBorder="1" applyAlignment="1" applyProtection="1">
      <alignment horizontal="center" vertical="top" wrapText="1"/>
    </xf>
    <xf numFmtId="0" fontId="12" fillId="3" borderId="35" xfId="5" applyFont="1" applyFill="1" applyBorder="1" applyAlignment="1">
      <alignment horizontal="center" vertical="center" wrapText="1"/>
    </xf>
    <xf numFmtId="44" fontId="4" fillId="0" borderId="28" xfId="7" applyFont="1" applyFill="1" applyBorder="1" applyAlignment="1" applyProtection="1">
      <alignment horizontal="right" vertical="center" wrapText="1"/>
      <protection locked="0"/>
    </xf>
    <xf numFmtId="44" fontId="16" fillId="12" borderId="39" xfId="7" applyFont="1" applyFill="1" applyBorder="1" applyAlignment="1" applyProtection="1">
      <alignment horizontal="right" vertical="center" wrapText="1"/>
    </xf>
    <xf numFmtId="44" fontId="16" fillId="19" borderId="39" xfId="7" applyFont="1" applyFill="1" applyBorder="1" applyAlignment="1" applyProtection="1">
      <alignment horizontal="right" vertical="center" wrapText="1"/>
    </xf>
    <xf numFmtId="0" fontId="12" fillId="19" borderId="39" xfId="5" applyFont="1" applyFill="1" applyBorder="1" applyAlignment="1" applyProtection="1">
      <alignment vertical="center" wrapText="1"/>
    </xf>
    <xf numFmtId="44" fontId="19" fillId="12" borderId="39" xfId="5" applyNumberFormat="1" applyFont="1" applyFill="1" applyBorder="1" applyAlignment="1" applyProtection="1">
      <alignment horizontal="center" vertical="center" wrapText="1"/>
    </xf>
    <xf numFmtId="44" fontId="22" fillId="3" borderId="39" xfId="5" applyNumberFormat="1" applyFont="1" applyFill="1" applyBorder="1" applyAlignment="1" applyProtection="1">
      <alignment horizontal="center" vertical="center" wrapText="1"/>
    </xf>
    <xf numFmtId="10" fontId="17" fillId="12" borderId="39" xfId="5" applyNumberFormat="1" applyFont="1" applyFill="1" applyBorder="1" applyAlignment="1" applyProtection="1">
      <alignment vertical="center" wrapText="1"/>
    </xf>
    <xf numFmtId="10" fontId="17" fillId="3" borderId="39" xfId="5" applyNumberFormat="1" applyFont="1" applyFill="1" applyBorder="1" applyAlignment="1" applyProtection="1">
      <alignment vertical="center" wrapText="1"/>
    </xf>
    <xf numFmtId="0" fontId="14" fillId="17" borderId="0" xfId="5" applyFont="1" applyFill="1" applyBorder="1" applyAlignment="1" applyProtection="1">
      <alignment horizontal="right" vertical="center" wrapText="1"/>
    </xf>
    <xf numFmtId="44" fontId="9" fillId="17" borderId="0" xfId="5" applyNumberFormat="1" applyFont="1" applyFill="1" applyBorder="1" applyAlignment="1" applyProtection="1">
      <alignment horizontal="center" vertical="center" wrapText="1"/>
    </xf>
    <xf numFmtId="10" fontId="10" fillId="17" borderId="0" xfId="2" applyNumberFormat="1" applyFont="1" applyFill="1" applyBorder="1" applyAlignment="1" applyProtection="1">
      <alignment vertical="center" wrapText="1"/>
    </xf>
    <xf numFmtId="44" fontId="12" fillId="17" borderId="0" xfId="5" applyNumberFormat="1" applyFont="1" applyFill="1" applyBorder="1" applyAlignment="1" applyProtection="1">
      <alignment vertical="center" wrapText="1"/>
    </xf>
    <xf numFmtId="10" fontId="17" fillId="17" borderId="0" xfId="2" applyNumberFormat="1" applyFont="1" applyFill="1" applyBorder="1" applyAlignment="1" applyProtection="1">
      <alignment vertical="center" wrapText="1"/>
    </xf>
    <xf numFmtId="49" fontId="9" fillId="0" borderId="12" xfId="5" applyNumberFormat="1" applyFont="1" applyFill="1" applyBorder="1" applyAlignment="1" applyProtection="1">
      <alignment horizontal="center" vertical="center" wrapText="1"/>
      <protection locked="0"/>
    </xf>
    <xf numFmtId="49" fontId="30" fillId="0" borderId="12" xfId="5" applyNumberFormat="1" applyFont="1" applyFill="1" applyBorder="1" applyAlignment="1" applyProtection="1">
      <alignment horizontal="center" vertical="center" wrapText="1"/>
      <protection locked="0"/>
    </xf>
    <xf numFmtId="49" fontId="9" fillId="0" borderId="22" xfId="5" applyNumberFormat="1" applyFont="1" applyFill="1" applyBorder="1" applyAlignment="1" applyProtection="1">
      <alignment horizontal="center" vertical="center" wrapText="1"/>
      <protection locked="0"/>
    </xf>
    <xf numFmtId="0" fontId="12" fillId="3" borderId="39" xfId="5" applyFont="1" applyFill="1" applyBorder="1" applyAlignment="1" applyProtection="1">
      <alignment horizontal="right" vertical="center" wrapText="1"/>
    </xf>
    <xf numFmtId="0" fontId="12" fillId="3" borderId="10" xfId="5" applyFont="1" applyFill="1" applyBorder="1" applyAlignment="1" applyProtection="1">
      <alignment horizontal="right" vertical="center" wrapText="1"/>
    </xf>
    <xf numFmtId="0" fontId="9" fillId="17" borderId="0" xfId="5" applyFont="1" applyFill="1" applyAlignment="1" applyProtection="1">
      <alignment vertical="center" wrapText="1"/>
    </xf>
    <xf numFmtId="0" fontId="34" fillId="17" borderId="0" xfId="5" applyFont="1" applyFill="1" applyAlignment="1" applyProtection="1">
      <alignment vertical="center" wrapText="1"/>
    </xf>
    <xf numFmtId="0" fontId="12" fillId="19" borderId="36" xfId="5" applyFont="1" applyFill="1" applyBorder="1" applyAlignment="1" applyProtection="1">
      <alignment horizontal="center" vertical="center" wrapText="1"/>
    </xf>
    <xf numFmtId="0" fontId="9" fillId="17" borderId="0" xfId="5" applyFont="1" applyFill="1" applyBorder="1" applyAlignment="1" applyProtection="1">
      <alignment vertical="center" wrapText="1"/>
    </xf>
    <xf numFmtId="0" fontId="12" fillId="17" borderId="0" xfId="5" applyFont="1" applyFill="1" applyBorder="1" applyAlignment="1" applyProtection="1">
      <alignment vertical="center" wrapText="1"/>
    </xf>
    <xf numFmtId="0" fontId="34" fillId="17" borderId="0" xfId="5" applyFont="1" applyFill="1" applyBorder="1" applyAlignment="1" applyProtection="1">
      <alignment vertical="center" wrapText="1"/>
    </xf>
    <xf numFmtId="165" fontId="9" fillId="3" borderId="12" xfId="5" applyNumberFormat="1" applyFont="1" applyFill="1" applyBorder="1" applyAlignment="1" applyProtection="1">
      <alignment horizontal="right" vertical="center" wrapText="1"/>
      <protection locked="0"/>
    </xf>
    <xf numFmtId="165" fontId="4" fillId="19" borderId="40" xfId="7" applyNumberFormat="1" applyFont="1" applyFill="1" applyBorder="1" applyAlignment="1" applyProtection="1">
      <alignment horizontal="right" vertical="center" wrapText="1"/>
      <protection locked="0"/>
    </xf>
    <xf numFmtId="0" fontId="12" fillId="19" borderId="24" xfId="5" applyFont="1" applyFill="1" applyBorder="1" applyAlignment="1" applyProtection="1">
      <alignment horizontal="center" vertical="center" wrapText="1"/>
    </xf>
    <xf numFmtId="0" fontId="12" fillId="19" borderId="36" xfId="5" applyFont="1" applyFill="1" applyBorder="1" applyAlignment="1">
      <alignment horizontal="center" vertical="center" wrapText="1"/>
    </xf>
    <xf numFmtId="165" fontId="9" fillId="0" borderId="39" xfId="5" applyNumberFormat="1" applyFont="1" applyFill="1" applyBorder="1" applyAlignment="1" applyProtection="1">
      <alignment horizontal="right" vertical="center" wrapText="1"/>
      <protection locked="0"/>
    </xf>
    <xf numFmtId="165" fontId="30" fillId="0" borderId="39" xfId="5" applyNumberFormat="1" applyFont="1" applyFill="1" applyBorder="1" applyAlignment="1" applyProtection="1">
      <alignment horizontal="right" vertical="center" wrapText="1"/>
      <protection locked="0"/>
    </xf>
    <xf numFmtId="165" fontId="9" fillId="0" borderId="20" xfId="5" applyNumberFormat="1" applyFont="1" applyFill="1" applyBorder="1" applyAlignment="1" applyProtection="1">
      <alignment horizontal="right" vertical="center" wrapText="1"/>
      <protection locked="0"/>
    </xf>
    <xf numFmtId="0" fontId="26" fillId="20" borderId="46" xfId="5" applyFont="1" applyFill="1" applyBorder="1" applyAlignment="1" applyProtection="1">
      <alignment vertical="top" wrapText="1"/>
    </xf>
    <xf numFmtId="0" fontId="0" fillId="21" borderId="42" xfId="0" applyFill="1" applyBorder="1" applyProtection="1"/>
    <xf numFmtId="0" fontId="0" fillId="21" borderId="32" xfId="0" applyFill="1" applyBorder="1" applyProtection="1"/>
    <xf numFmtId="0" fontId="0" fillId="21" borderId="33" xfId="0" applyFill="1" applyBorder="1" applyProtection="1"/>
    <xf numFmtId="0" fontId="0" fillId="21" borderId="43" xfId="0" applyFill="1" applyBorder="1" applyProtection="1"/>
    <xf numFmtId="0" fontId="0" fillId="21" borderId="44" xfId="0" applyFill="1" applyBorder="1" applyProtection="1"/>
    <xf numFmtId="0" fontId="0" fillId="21" borderId="41" xfId="0" applyFill="1" applyBorder="1" applyProtection="1"/>
    <xf numFmtId="0" fontId="0" fillId="21" borderId="29" xfId="0" applyFill="1" applyBorder="1" applyProtection="1"/>
    <xf numFmtId="0" fontId="0" fillId="21" borderId="27" xfId="0" applyFill="1" applyBorder="1" applyProtection="1"/>
    <xf numFmtId="0" fontId="0" fillId="4" borderId="38" xfId="0" applyFill="1" applyBorder="1" applyProtection="1"/>
    <xf numFmtId="0" fontId="0" fillId="4" borderId="19" xfId="0" applyFill="1" applyBorder="1" applyProtection="1"/>
    <xf numFmtId="0" fontId="12" fillId="3" borderId="37" xfId="5" applyFont="1" applyFill="1" applyBorder="1" applyAlignment="1" applyProtection="1">
      <alignment horizontal="center" vertical="center" wrapText="1"/>
    </xf>
    <xf numFmtId="0" fontId="12" fillId="3" borderId="57" xfId="5" applyFont="1" applyFill="1" applyBorder="1" applyAlignment="1" applyProtection="1">
      <alignment horizontal="center" vertical="center" wrapText="1"/>
    </xf>
    <xf numFmtId="49" fontId="9" fillId="0" borderId="10" xfId="5" applyNumberFormat="1" applyFont="1" applyFill="1" applyBorder="1" applyAlignment="1" applyProtection="1">
      <alignment horizontal="center" vertical="center" wrapText="1"/>
      <protection locked="0"/>
    </xf>
    <xf numFmtId="49" fontId="30" fillId="0" borderId="10" xfId="5" applyNumberFormat="1" applyFont="1" applyFill="1" applyBorder="1" applyAlignment="1" applyProtection="1">
      <alignment horizontal="center" vertical="center" wrapText="1"/>
      <protection locked="0"/>
    </xf>
    <xf numFmtId="49" fontId="9" fillId="0" borderId="23" xfId="5" applyNumberFormat="1" applyFont="1" applyFill="1" applyBorder="1" applyAlignment="1" applyProtection="1">
      <alignment horizontal="center" vertical="center" wrapText="1"/>
      <protection locked="0"/>
    </xf>
    <xf numFmtId="49" fontId="9" fillId="0" borderId="9" xfId="5" applyNumberFormat="1" applyFont="1" applyFill="1" applyBorder="1" applyAlignment="1" applyProtection="1">
      <alignment horizontal="center" vertical="center" wrapText="1"/>
      <protection locked="0"/>
    </xf>
    <xf numFmtId="0" fontId="12" fillId="3" borderId="1" xfId="5" applyFont="1" applyFill="1" applyBorder="1" applyAlignment="1" applyProtection="1">
      <alignment horizontal="center" vertical="center" wrapText="1"/>
    </xf>
    <xf numFmtId="49" fontId="9" fillId="0" borderId="7" xfId="5" applyNumberFormat="1" applyFont="1" applyFill="1" applyBorder="1" applyAlignment="1" applyProtection="1">
      <alignment horizontal="center" vertical="center" wrapText="1"/>
      <protection locked="0"/>
    </xf>
    <xf numFmtId="0" fontId="27" fillId="7" borderId="19" xfId="5" applyFont="1" applyFill="1" applyBorder="1" applyAlignment="1" applyProtection="1">
      <alignment vertical="top" wrapText="1"/>
    </xf>
    <xf numFmtId="0" fontId="12" fillId="3" borderId="31" xfId="5" applyNumberFormat="1" applyFont="1" applyFill="1" applyBorder="1" applyAlignment="1">
      <alignment horizontal="center" vertical="center" wrapText="1"/>
    </xf>
    <xf numFmtId="165" fontId="9" fillId="0" borderId="12" xfId="5" applyNumberFormat="1" applyFont="1" applyFill="1" applyBorder="1" applyAlignment="1" applyProtection="1">
      <alignment horizontal="right" vertical="center" wrapText="1"/>
      <protection locked="0"/>
    </xf>
    <xf numFmtId="165" fontId="30" fillId="0" borderId="12" xfId="5" applyNumberFormat="1" applyFont="1" applyFill="1" applyBorder="1" applyAlignment="1" applyProtection="1">
      <alignment horizontal="right" vertical="center" wrapText="1"/>
      <protection locked="0"/>
    </xf>
    <xf numFmtId="165" fontId="9" fillId="0" borderId="22" xfId="5" applyNumberFormat="1" applyFont="1" applyFill="1" applyBorder="1" applyAlignment="1" applyProtection="1">
      <alignment horizontal="right" vertical="center" wrapText="1"/>
      <protection locked="0"/>
    </xf>
    <xf numFmtId="0" fontId="34" fillId="17" borderId="0" xfId="5" applyNumberFormat="1" applyFont="1" applyFill="1" applyAlignment="1" applyProtection="1">
      <alignment vertical="center" wrapText="1"/>
    </xf>
    <xf numFmtId="0" fontId="0" fillId="0" borderId="40" xfId="0" applyBorder="1" applyAlignment="1" applyProtection="1">
      <alignment horizontal="center"/>
    </xf>
    <xf numFmtId="0" fontId="0" fillId="0" borderId="21" xfId="0" applyBorder="1" applyAlignment="1" applyProtection="1">
      <alignment horizontal="center"/>
    </xf>
    <xf numFmtId="0" fontId="17" fillId="0" borderId="39" xfId="5" applyFont="1" applyFill="1" applyBorder="1" applyAlignment="1" applyProtection="1">
      <alignment horizontal="center" vertical="center" wrapText="1"/>
      <protection locked="0"/>
    </xf>
    <xf numFmtId="0" fontId="17" fillId="0" borderId="40" xfId="5" applyFont="1" applyFill="1" applyBorder="1" applyAlignment="1" applyProtection="1">
      <alignment horizontal="center" vertical="center" wrapText="1"/>
      <protection locked="0"/>
    </xf>
    <xf numFmtId="0" fontId="9" fillId="3" borderId="59" xfId="5" applyFont="1" applyFill="1" applyBorder="1" applyAlignment="1" applyProtection="1">
      <alignment horizontal="center" vertical="center" wrapText="1"/>
      <protection locked="0"/>
    </xf>
    <xf numFmtId="0" fontId="9" fillId="0" borderId="60" xfId="5" applyFont="1" applyFill="1" applyBorder="1" applyAlignment="1" applyProtection="1">
      <alignment horizontal="center" vertical="center" wrapText="1"/>
      <protection locked="0"/>
    </xf>
    <xf numFmtId="44" fontId="9" fillId="0" borderId="60" xfId="5" applyNumberFormat="1" applyFont="1" applyFill="1" applyBorder="1" applyAlignment="1" applyProtection="1">
      <alignment horizontal="right" vertical="center" wrapText="1"/>
      <protection locked="0"/>
    </xf>
    <xf numFmtId="4" fontId="9" fillId="0" borderId="60" xfId="5" applyNumberFormat="1" applyFont="1" applyFill="1" applyBorder="1" applyAlignment="1" applyProtection="1">
      <alignment horizontal="right" vertical="center" wrapText="1"/>
      <protection locked="0"/>
    </xf>
    <xf numFmtId="49" fontId="9" fillId="0" borderId="60" xfId="5" applyNumberFormat="1" applyFont="1" applyFill="1" applyBorder="1" applyAlignment="1" applyProtection="1">
      <alignment horizontal="center" vertical="center" wrapText="1"/>
      <protection locked="0"/>
    </xf>
    <xf numFmtId="49" fontId="9" fillId="0" borderId="61" xfId="5" applyNumberFormat="1" applyFont="1" applyFill="1" applyBorder="1" applyAlignment="1" applyProtection="1">
      <alignment horizontal="center" vertical="center" wrapText="1"/>
      <protection locked="0"/>
    </xf>
    <xf numFmtId="49" fontId="9" fillId="0" borderId="38" xfId="5" applyNumberFormat="1" applyFont="1" applyFill="1" applyBorder="1" applyAlignment="1" applyProtection="1">
      <alignment horizontal="center" vertical="center" wrapText="1"/>
    </xf>
    <xf numFmtId="165" fontId="9" fillId="3" borderId="61" xfId="5" applyNumberFormat="1" applyFont="1" applyFill="1" applyBorder="1" applyAlignment="1" applyProtection="1">
      <alignment horizontal="right" vertical="center" wrapText="1"/>
      <protection locked="0"/>
    </xf>
    <xf numFmtId="165" fontId="0" fillId="19" borderId="62" xfId="7" applyNumberFormat="1" applyFont="1" applyFill="1" applyBorder="1" applyAlignment="1" applyProtection="1">
      <alignment horizontal="right" vertical="center" wrapText="1"/>
      <protection locked="0"/>
    </xf>
    <xf numFmtId="44" fontId="23" fillId="2" borderId="0" xfId="5" applyNumberFormat="1" applyFont="1" applyFill="1" applyAlignment="1" applyProtection="1">
      <alignment vertical="center" wrapText="1"/>
    </xf>
    <xf numFmtId="0" fontId="23" fillId="2" borderId="0" xfId="5" applyFont="1" applyFill="1" applyAlignment="1" applyProtection="1">
      <alignment wrapText="1"/>
    </xf>
    <xf numFmtId="44" fontId="7" fillId="3" borderId="61" xfId="5" applyNumberFormat="1" applyFont="1" applyFill="1" applyBorder="1" applyAlignment="1" applyProtection="1">
      <alignment horizontal="right" vertical="center" wrapText="1"/>
    </xf>
    <xf numFmtId="44" fontId="7" fillId="0" borderId="61" xfId="5" applyNumberFormat="1" applyFont="1" applyBorder="1" applyAlignment="1" applyProtection="1">
      <alignment horizontal="right" vertical="center" wrapText="1"/>
    </xf>
    <xf numFmtId="44" fontId="7" fillId="0" borderId="61" xfId="5" applyNumberFormat="1" applyFont="1" applyBorder="1" applyAlignment="1" applyProtection="1">
      <alignment horizontal="left" vertical="center" wrapText="1"/>
    </xf>
    <xf numFmtId="44" fontId="7" fillId="3" borderId="39" xfId="5" applyNumberFormat="1" applyFont="1" applyFill="1" applyBorder="1" applyAlignment="1" applyProtection="1">
      <alignment horizontal="right" vertical="center" wrapText="1"/>
      <protection locked="0"/>
    </xf>
    <xf numFmtId="44" fontId="7" fillId="3" borderId="61" xfId="5" applyNumberFormat="1" applyFont="1" applyFill="1" applyBorder="1" applyAlignment="1" applyProtection="1">
      <alignment horizontal="right" vertical="center" wrapText="1"/>
      <protection locked="0"/>
    </xf>
    <xf numFmtId="44" fontId="4" fillId="19" borderId="40" xfId="7" applyFont="1" applyFill="1" applyBorder="1" applyAlignment="1" applyProtection="1">
      <alignment horizontal="right" vertical="center" wrapText="1"/>
    </xf>
    <xf numFmtId="44" fontId="4" fillId="19" borderId="40" xfId="7" applyFont="1" applyFill="1" applyBorder="1" applyAlignment="1" applyProtection="1">
      <alignment horizontal="right" vertical="center" wrapText="1"/>
      <protection locked="0"/>
    </xf>
    <xf numFmtId="0" fontId="9" fillId="0" borderId="61" xfId="5" applyFont="1" applyFill="1" applyBorder="1" applyAlignment="1" applyProtection="1">
      <alignment horizontal="center" vertical="center" wrapText="1"/>
      <protection locked="0"/>
    </xf>
    <xf numFmtId="0" fontId="7" fillId="0" borderId="61" xfId="5" applyFont="1" applyBorder="1" applyAlignment="1" applyProtection="1">
      <alignment horizontal="left" vertical="center" wrapText="1"/>
    </xf>
    <xf numFmtId="0" fontId="7" fillId="0" borderId="61" xfId="5" applyFont="1" applyBorder="1" applyAlignment="1" applyProtection="1">
      <alignment horizontal="center" vertical="center" wrapText="1"/>
    </xf>
    <xf numFmtId="0" fontId="7" fillId="0" borderId="61" xfId="5" applyFont="1" applyBorder="1" applyAlignment="1" applyProtection="1">
      <alignment horizontal="left" vertical="center" wrapText="1"/>
      <protection locked="0"/>
    </xf>
    <xf numFmtId="0" fontId="30" fillId="0" borderId="61" xfId="5" applyFont="1" applyFill="1" applyBorder="1" applyAlignment="1" applyProtection="1">
      <alignment horizontal="center" vertical="center" wrapText="1"/>
      <protection locked="0"/>
    </xf>
    <xf numFmtId="49" fontId="30" fillId="0" borderId="61" xfId="5" applyNumberFormat="1" applyFont="1" applyFill="1" applyBorder="1" applyAlignment="1" applyProtection="1">
      <alignment horizontal="center" vertical="center" wrapText="1"/>
      <protection locked="0"/>
    </xf>
    <xf numFmtId="44" fontId="32" fillId="0" borderId="61" xfId="5" applyNumberFormat="1" applyFont="1" applyFill="1" applyBorder="1" applyAlignment="1" applyProtection="1">
      <alignment horizontal="right" vertical="center" wrapText="1"/>
    </xf>
    <xf numFmtId="0" fontId="32" fillId="0" borderId="61" xfId="5" applyFont="1" applyFill="1" applyBorder="1" applyAlignment="1" applyProtection="1">
      <alignment horizontal="left" vertical="center" wrapText="1"/>
    </xf>
    <xf numFmtId="0" fontId="32" fillId="0" borderId="61" xfId="5" applyFont="1" applyFill="1" applyBorder="1" applyAlignment="1" applyProtection="1">
      <alignment horizontal="center" vertical="center" wrapText="1"/>
    </xf>
    <xf numFmtId="0" fontId="32" fillId="0" borderId="61" xfId="5" applyFont="1" applyFill="1" applyBorder="1" applyAlignment="1" applyProtection="1">
      <alignment horizontal="left" vertical="center" wrapText="1"/>
      <protection locked="0"/>
    </xf>
    <xf numFmtId="44" fontId="32" fillId="0" borderId="61" xfId="5" applyNumberFormat="1" applyFont="1" applyFill="1" applyBorder="1" applyAlignment="1" applyProtection="1">
      <alignment horizontal="left" vertical="center" wrapText="1"/>
    </xf>
    <xf numFmtId="44" fontId="7" fillId="0" borderId="61" xfId="5" applyNumberFormat="1" applyFont="1" applyFill="1" applyBorder="1" applyAlignment="1" applyProtection="1">
      <alignment horizontal="right" vertical="center" wrapText="1"/>
    </xf>
    <xf numFmtId="0" fontId="7" fillId="0" borderId="61" xfId="5" applyFont="1" applyFill="1" applyBorder="1" applyAlignment="1" applyProtection="1">
      <alignment horizontal="left" vertical="center" wrapText="1"/>
    </xf>
    <xf numFmtId="0" fontId="7" fillId="0" borderId="61" xfId="5" applyFont="1" applyFill="1" applyBorder="1" applyAlignment="1" applyProtection="1">
      <alignment horizontal="center" vertical="center" wrapText="1"/>
    </xf>
    <xf numFmtId="0" fontId="7" fillId="0" borderId="61" xfId="5" applyFont="1" applyFill="1" applyBorder="1" applyAlignment="1" applyProtection="1">
      <alignment horizontal="left" vertical="center" wrapText="1"/>
      <protection locked="0"/>
    </xf>
    <xf numFmtId="44" fontId="7" fillId="0" borderId="61" xfId="5" applyNumberFormat="1" applyFont="1" applyFill="1" applyBorder="1" applyAlignment="1" applyProtection="1">
      <alignment horizontal="left" vertical="center" wrapText="1"/>
    </xf>
    <xf numFmtId="0" fontId="27" fillId="8" borderId="33" xfId="5" applyFont="1" applyFill="1" applyBorder="1" applyAlignment="1" applyProtection="1">
      <alignment vertical="top" wrapText="1"/>
    </xf>
    <xf numFmtId="0" fontId="9" fillId="3" borderId="59" xfId="5" applyFont="1" applyFill="1" applyBorder="1" applyAlignment="1" applyProtection="1">
      <alignment horizontal="center" vertical="center" wrapText="1"/>
    </xf>
    <xf numFmtId="44" fontId="4" fillId="0" borderId="62" xfId="7" applyFont="1" applyFill="1" applyBorder="1" applyAlignment="1" applyProtection="1">
      <alignment horizontal="right" vertical="center" wrapText="1"/>
      <protection locked="0"/>
    </xf>
    <xf numFmtId="44" fontId="31" fillId="0" borderId="62" xfId="7" applyFont="1" applyFill="1" applyBorder="1" applyAlignment="1" applyProtection="1">
      <alignment horizontal="right" vertical="center" wrapText="1"/>
      <protection locked="0"/>
    </xf>
    <xf numFmtId="44" fontId="0" fillId="0" borderId="62" xfId="7" applyFont="1" applyFill="1" applyBorder="1" applyAlignment="1" applyProtection="1">
      <alignment horizontal="right" vertical="center" wrapText="1"/>
      <protection locked="0"/>
    </xf>
    <xf numFmtId="0" fontId="12" fillId="0" borderId="0" xfId="5" applyFont="1" applyFill="1" applyBorder="1" applyAlignment="1" applyProtection="1">
      <alignment horizontal="left" vertical="center" wrapText="1"/>
    </xf>
    <xf numFmtId="0" fontId="9" fillId="0" borderId="0" xfId="5" applyFont="1" applyFill="1" applyBorder="1" applyAlignment="1" applyProtection="1">
      <alignment horizontal="left" vertical="center" wrapText="1"/>
      <protection locked="0"/>
    </xf>
    <xf numFmtId="0" fontId="0" fillId="0" borderId="0" xfId="0" applyFill="1" applyBorder="1" applyProtection="1"/>
    <xf numFmtId="49" fontId="0" fillId="0" borderId="0" xfId="0" applyNumberFormat="1" applyFill="1" applyBorder="1" applyAlignment="1" applyProtection="1">
      <alignment horizontal="left"/>
      <protection locked="0"/>
    </xf>
    <xf numFmtId="0" fontId="22" fillId="6" borderId="63" xfId="5" applyFont="1" applyFill="1" applyBorder="1" applyAlignment="1" applyProtection="1">
      <alignment vertical="center" wrapText="1"/>
      <protection locked="0"/>
    </xf>
    <xf numFmtId="10" fontId="16" fillId="3" borderId="10" xfId="5" applyNumberFormat="1" applyFont="1" applyFill="1" applyBorder="1" applyAlignment="1" applyProtection="1">
      <alignment vertical="center" wrapText="1"/>
    </xf>
    <xf numFmtId="10" fontId="16" fillId="3" borderId="13" xfId="5" applyNumberFormat="1" applyFont="1" applyFill="1" applyBorder="1" applyAlignment="1" applyProtection="1">
      <alignment horizontal="right" vertical="center" wrapText="1"/>
    </xf>
    <xf numFmtId="14" fontId="9" fillId="0" borderId="39" xfId="5" applyNumberFormat="1" applyFont="1" applyFill="1" applyBorder="1" applyAlignment="1" applyProtection="1">
      <alignment horizontal="center" vertical="center" wrapText="1"/>
      <protection locked="0"/>
    </xf>
    <xf numFmtId="14" fontId="30" fillId="0" borderId="39" xfId="5" applyNumberFormat="1" applyFont="1" applyFill="1" applyBorder="1" applyAlignment="1" applyProtection="1">
      <alignment horizontal="center" vertical="center" wrapText="1"/>
      <protection locked="0"/>
    </xf>
    <xf numFmtId="14" fontId="9" fillId="0" borderId="20" xfId="5" applyNumberFormat="1" applyFont="1" applyFill="1" applyBorder="1" applyAlignment="1" applyProtection="1">
      <alignment horizontal="center" vertical="center" wrapText="1"/>
      <protection locked="0"/>
    </xf>
    <xf numFmtId="14" fontId="9" fillId="0" borderId="61" xfId="5" applyNumberFormat="1" applyFont="1" applyFill="1" applyBorder="1" applyAlignment="1" applyProtection="1">
      <alignment horizontal="center" vertical="center" wrapText="1"/>
      <protection locked="0"/>
    </xf>
    <xf numFmtId="14" fontId="30" fillId="0" borderId="61" xfId="5" applyNumberFormat="1" applyFont="1" applyFill="1" applyBorder="1" applyAlignment="1" applyProtection="1">
      <alignment horizontal="center" vertical="center" wrapText="1"/>
      <protection locked="0"/>
    </xf>
    <xf numFmtId="14" fontId="9" fillId="0" borderId="15" xfId="5" applyNumberFormat="1" applyFont="1" applyFill="1" applyBorder="1" applyAlignment="1" applyProtection="1">
      <alignment horizontal="center" vertical="center" wrapText="1"/>
      <protection locked="0"/>
    </xf>
    <xf numFmtId="44" fontId="7" fillId="3" borderId="15" xfId="5" applyNumberFormat="1" applyFont="1" applyFill="1" applyBorder="1" applyAlignment="1" applyProtection="1">
      <alignment horizontal="right" vertical="center" wrapText="1"/>
      <protection locked="0"/>
    </xf>
    <xf numFmtId="0" fontId="25" fillId="6" borderId="48" xfId="5" applyFont="1" applyFill="1" applyBorder="1" applyAlignment="1" applyProtection="1">
      <alignment horizontal="center" vertical="center" wrapText="1"/>
    </xf>
    <xf numFmtId="0" fontId="25" fillId="6" borderId="49" xfId="5" applyFont="1" applyFill="1" applyBorder="1" applyAlignment="1" applyProtection="1">
      <alignment horizontal="center" vertical="center" wrapText="1"/>
    </xf>
    <xf numFmtId="0" fontId="33" fillId="0" borderId="48" xfId="0" applyFont="1" applyBorder="1" applyAlignment="1" applyProtection="1">
      <alignment horizontal="center"/>
    </xf>
    <xf numFmtId="0" fontId="33" fillId="0" borderId="49" xfId="0" applyFont="1" applyBorder="1" applyAlignment="1" applyProtection="1">
      <alignment horizontal="center"/>
    </xf>
    <xf numFmtId="0" fontId="33" fillId="0" borderId="50" xfId="0" applyFont="1" applyBorder="1" applyAlignment="1" applyProtection="1">
      <alignment horizontal="center"/>
    </xf>
    <xf numFmtId="14" fontId="9" fillId="0" borderId="12" xfId="5" applyNumberFormat="1" applyFont="1" applyFill="1" applyBorder="1" applyAlignment="1" applyProtection="1">
      <alignment horizontal="left" vertical="center" wrapText="1"/>
      <protection locked="0"/>
    </xf>
    <xf numFmtId="0" fontId="9" fillId="0" borderId="13" xfId="5" applyFont="1" applyFill="1" applyBorder="1" applyAlignment="1" applyProtection="1">
      <alignment horizontal="left" vertical="center" wrapText="1"/>
      <protection locked="0"/>
    </xf>
    <xf numFmtId="0" fontId="12" fillId="3" borderId="12" xfId="5" applyFont="1" applyFill="1" applyBorder="1" applyAlignment="1" applyProtection="1">
      <alignment horizontal="left" vertical="center" wrapText="1"/>
    </xf>
    <xf numFmtId="0" fontId="12" fillId="3" borderId="10" xfId="5" applyFont="1" applyFill="1" applyBorder="1" applyAlignment="1" applyProtection="1">
      <alignment horizontal="left" vertical="center" wrapText="1"/>
    </xf>
    <xf numFmtId="14" fontId="9" fillId="3" borderId="12" xfId="5" applyNumberFormat="1" applyFont="1" applyFill="1" applyBorder="1" applyAlignment="1" applyProtection="1">
      <alignment horizontal="left" vertical="center" wrapText="1"/>
    </xf>
    <xf numFmtId="14" fontId="9" fillId="3" borderId="13" xfId="5" applyNumberFormat="1" applyFont="1" applyFill="1" applyBorder="1" applyAlignment="1" applyProtection="1">
      <alignment horizontal="left" vertical="center" wrapText="1"/>
    </xf>
    <xf numFmtId="14" fontId="9" fillId="3" borderId="45" xfId="5" applyNumberFormat="1" applyFont="1" applyFill="1" applyBorder="1" applyAlignment="1" applyProtection="1">
      <alignment horizontal="left" vertical="center" wrapText="1"/>
    </xf>
    <xf numFmtId="0" fontId="9" fillId="0" borderId="22" xfId="5" applyFont="1" applyFill="1" applyBorder="1" applyAlignment="1" applyProtection="1">
      <alignment horizontal="left" vertical="center" wrapText="1"/>
      <protection locked="0"/>
    </xf>
    <xf numFmtId="0" fontId="9" fillId="0" borderId="30" xfId="5" applyFont="1" applyFill="1" applyBorder="1" applyAlignment="1" applyProtection="1">
      <alignment horizontal="left" vertical="center" wrapText="1"/>
      <protection locked="0"/>
    </xf>
    <xf numFmtId="0" fontId="9" fillId="0" borderId="46" xfId="5" applyFont="1" applyFill="1" applyBorder="1" applyAlignment="1" applyProtection="1">
      <alignment horizontal="left" vertical="center" wrapText="1"/>
      <protection locked="0"/>
    </xf>
    <xf numFmtId="49" fontId="0" fillId="0" borderId="9" xfId="0"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49" fontId="0" fillId="0" borderId="26" xfId="0" applyNumberFormat="1" applyBorder="1" applyAlignment="1" applyProtection="1">
      <alignment horizontal="left"/>
      <protection locked="0"/>
    </xf>
    <xf numFmtId="49" fontId="0" fillId="0" borderId="37" xfId="0" applyNumberFormat="1" applyBorder="1" applyAlignment="1" applyProtection="1">
      <alignment horizontal="left"/>
      <protection locked="0"/>
    </xf>
    <xf numFmtId="49" fontId="0" fillId="0" borderId="17"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49" fontId="0" fillId="0" borderId="13" xfId="0" applyNumberFormat="1" applyBorder="1" applyAlignment="1" applyProtection="1">
      <alignment horizontal="left"/>
      <protection locked="0"/>
    </xf>
    <xf numFmtId="49" fontId="0" fillId="0" borderId="45" xfId="0" applyNumberFormat="1" applyBorder="1" applyAlignment="1" applyProtection="1">
      <alignment horizontal="left"/>
      <protection locked="0"/>
    </xf>
    <xf numFmtId="49" fontId="0" fillId="0" borderId="22" xfId="0" applyNumberFormat="1" applyBorder="1" applyAlignment="1" applyProtection="1">
      <alignment horizontal="left"/>
      <protection locked="0"/>
    </xf>
    <xf numFmtId="49" fontId="0" fillId="0" borderId="30" xfId="0" applyNumberFormat="1" applyBorder="1" applyAlignment="1" applyProtection="1">
      <alignment horizontal="left"/>
      <protection locked="0"/>
    </xf>
    <xf numFmtId="49" fontId="0" fillId="0" borderId="46" xfId="0" applyNumberFormat="1" applyBorder="1" applyAlignment="1" applyProtection="1">
      <alignment horizontal="left"/>
      <protection locked="0"/>
    </xf>
    <xf numFmtId="0" fontId="8" fillId="11" borderId="48" xfId="5" applyFont="1" applyFill="1" applyBorder="1" applyAlignment="1" applyProtection="1">
      <alignment vertical="center" wrapText="1"/>
    </xf>
    <xf numFmtId="0" fontId="8" fillId="11" borderId="49" xfId="5" applyFont="1" applyFill="1" applyBorder="1" applyAlignment="1" applyProtection="1">
      <alignment vertical="center" wrapText="1"/>
    </xf>
    <xf numFmtId="0" fontId="8" fillId="11" borderId="50" xfId="5" applyFont="1" applyFill="1" applyBorder="1" applyAlignment="1" applyProtection="1">
      <alignment vertical="center" wrapText="1"/>
    </xf>
    <xf numFmtId="49" fontId="0" fillId="0" borderId="3"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47" xfId="0" applyNumberFormat="1" applyBorder="1" applyAlignment="1" applyProtection="1">
      <alignment horizontal="left"/>
      <protection locked="0"/>
    </xf>
    <xf numFmtId="0" fontId="8" fillId="11" borderId="16" xfId="5" applyFont="1" applyFill="1" applyBorder="1" applyAlignment="1" applyProtection="1">
      <alignment horizontal="center" vertical="center" wrapText="1"/>
    </xf>
    <xf numFmtId="0" fontId="8" fillId="11" borderId="17" xfId="5" applyFont="1" applyFill="1" applyBorder="1" applyAlignment="1" applyProtection="1">
      <alignment horizontal="center" vertical="center" wrapText="1"/>
    </xf>
    <xf numFmtId="0" fontId="8" fillId="11" borderId="18" xfId="5" applyFont="1" applyFill="1" applyBorder="1" applyAlignment="1" applyProtection="1">
      <alignment horizontal="center" vertical="center" wrapText="1"/>
    </xf>
    <xf numFmtId="0" fontId="8" fillId="11" borderId="16" xfId="5" applyFont="1" applyFill="1" applyBorder="1" applyAlignment="1" applyProtection="1">
      <alignment vertical="center" wrapText="1"/>
    </xf>
    <xf numFmtId="0" fontId="8" fillId="11" borderId="17" xfId="5" applyFont="1" applyFill="1" applyBorder="1" applyAlignment="1" applyProtection="1">
      <alignment vertical="center" wrapText="1"/>
    </xf>
    <xf numFmtId="0" fontId="4" fillId="0" borderId="17" xfId="0" applyFont="1" applyBorder="1" applyAlignment="1" applyProtection="1">
      <alignment vertical="center" wrapText="1"/>
    </xf>
    <xf numFmtId="0" fontId="4" fillId="0" borderId="18" xfId="0" applyFont="1" applyBorder="1" applyAlignment="1" applyProtection="1">
      <alignment vertical="center" wrapText="1"/>
    </xf>
    <xf numFmtId="0" fontId="9" fillId="0" borderId="11" xfId="5" applyFont="1" applyFill="1" applyBorder="1" applyAlignment="1" applyProtection="1">
      <alignment horizontal="left" vertical="center" wrapText="1"/>
      <protection locked="0"/>
    </xf>
    <xf numFmtId="0" fontId="4" fillId="0" borderId="11"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9" fillId="0" borderId="39" xfId="5" applyFont="1" applyFill="1" applyBorder="1" applyAlignment="1" applyProtection="1">
      <alignment horizontal="left" vertical="center" wrapText="1"/>
      <protection locked="0"/>
    </xf>
    <xf numFmtId="0" fontId="4" fillId="0" borderId="39"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14" fontId="9" fillId="17" borderId="12" xfId="5" applyNumberFormat="1" applyFont="1" applyFill="1" applyBorder="1" applyAlignment="1" applyProtection="1">
      <alignment horizontal="left" vertical="center" wrapText="1"/>
      <protection locked="0"/>
    </xf>
    <xf numFmtId="0" fontId="9" fillId="17" borderId="13" xfId="5" applyFont="1" applyFill="1" applyBorder="1" applyAlignment="1" applyProtection="1">
      <alignment horizontal="left" vertical="center" wrapText="1"/>
      <protection locked="0"/>
    </xf>
    <xf numFmtId="0" fontId="9" fillId="17" borderId="45" xfId="5" applyFont="1" applyFill="1" applyBorder="1" applyAlignment="1" applyProtection="1">
      <alignment horizontal="left" vertical="center" wrapText="1"/>
      <protection locked="0"/>
    </xf>
    <xf numFmtId="14" fontId="9" fillId="0" borderId="39" xfId="5" applyNumberFormat="1" applyFont="1" applyFill="1" applyBorder="1" applyAlignment="1" applyProtection="1">
      <alignment horizontal="center" vertical="center" wrapText="1"/>
      <protection locked="0"/>
    </xf>
    <xf numFmtId="14" fontId="9" fillId="0" borderId="40" xfId="5" applyNumberFormat="1" applyFont="1" applyFill="1" applyBorder="1" applyAlignment="1" applyProtection="1">
      <alignment horizontal="center" vertical="center" wrapText="1"/>
      <protection locked="0"/>
    </xf>
    <xf numFmtId="14" fontId="0" fillId="0" borderId="39" xfId="0" applyNumberFormat="1" applyBorder="1" applyAlignment="1" applyProtection="1">
      <alignment horizontal="center"/>
      <protection locked="0"/>
    </xf>
    <xf numFmtId="1" fontId="9" fillId="3" borderId="12" xfId="5" applyNumberFormat="1" applyFont="1" applyFill="1" applyBorder="1" applyAlignment="1" applyProtection="1">
      <alignment horizontal="left" vertical="center" wrapText="1"/>
    </xf>
    <xf numFmtId="1" fontId="9" fillId="3" borderId="13" xfId="5" applyNumberFormat="1" applyFont="1" applyFill="1" applyBorder="1" applyAlignment="1" applyProtection="1">
      <alignment horizontal="left" vertical="center" wrapText="1"/>
    </xf>
    <xf numFmtId="9" fontId="12" fillId="3" borderId="12" xfId="5" applyNumberFormat="1" applyFont="1" applyFill="1" applyBorder="1" applyAlignment="1" applyProtection="1">
      <alignment horizontal="left" vertical="center" wrapText="1"/>
    </xf>
    <xf numFmtId="9" fontId="12" fillId="3" borderId="13" xfId="5" applyNumberFormat="1" applyFont="1" applyFill="1" applyBorder="1" applyAlignment="1" applyProtection="1">
      <alignment horizontal="left" vertical="center" wrapText="1"/>
    </xf>
    <xf numFmtId="9" fontId="12" fillId="3" borderId="45" xfId="5" applyNumberFormat="1" applyFont="1" applyFill="1" applyBorder="1" applyAlignment="1" applyProtection="1">
      <alignment horizontal="left" vertical="center" wrapText="1"/>
    </xf>
    <xf numFmtId="0" fontId="12" fillId="3" borderId="51" xfId="5" applyFont="1" applyFill="1" applyBorder="1" applyAlignment="1" applyProtection="1">
      <alignment horizontal="left" vertical="center" wrapText="1"/>
    </xf>
    <xf numFmtId="0" fontId="12" fillId="3" borderId="30" xfId="5" applyFont="1" applyFill="1" applyBorder="1" applyAlignment="1" applyProtection="1">
      <alignment horizontal="left" vertical="center" wrapText="1"/>
    </xf>
    <xf numFmtId="0" fontId="12" fillId="3" borderId="23" xfId="5" applyFont="1" applyFill="1" applyBorder="1" applyAlignment="1" applyProtection="1">
      <alignment horizontal="left" vertical="center" wrapText="1"/>
    </xf>
    <xf numFmtId="0" fontId="16" fillId="3" borderId="56" xfId="5" applyFont="1" applyFill="1" applyBorder="1" applyAlignment="1" applyProtection="1">
      <alignment vertical="center" wrapText="1"/>
    </xf>
    <xf numFmtId="0" fontId="16" fillId="3" borderId="13" xfId="5" applyFont="1" applyFill="1" applyBorder="1" applyAlignment="1" applyProtection="1">
      <alignment vertical="center" wrapText="1"/>
    </xf>
    <xf numFmtId="0" fontId="16" fillId="3" borderId="10" xfId="5" applyFont="1" applyFill="1" applyBorder="1" applyAlignment="1" applyProtection="1">
      <alignment vertical="center" wrapText="1"/>
    </xf>
    <xf numFmtId="0" fontId="12" fillId="12" borderId="56" xfId="5" applyFont="1" applyFill="1" applyBorder="1" applyAlignment="1" applyProtection="1">
      <alignment horizontal="left" vertical="center" wrapText="1"/>
    </xf>
    <xf numFmtId="0" fontId="12" fillId="12" borderId="13" xfId="5" applyFont="1" applyFill="1" applyBorder="1" applyAlignment="1" applyProtection="1">
      <alignment horizontal="left" vertical="center" wrapText="1"/>
    </xf>
    <xf numFmtId="0" fontId="12" fillId="12" borderId="10" xfId="5" applyFont="1" applyFill="1" applyBorder="1" applyAlignment="1" applyProtection="1">
      <alignment horizontal="left" vertical="center" wrapText="1"/>
    </xf>
    <xf numFmtId="0" fontId="14" fillId="11" borderId="54" xfId="5" applyFont="1" applyFill="1" applyBorder="1" applyAlignment="1" applyProtection="1">
      <alignment horizontal="center" vertical="center" wrapText="1"/>
    </xf>
    <xf numFmtId="0" fontId="14" fillId="11" borderId="3" xfId="5" applyFont="1" applyFill="1" applyBorder="1" applyAlignment="1" applyProtection="1">
      <alignment horizontal="center" vertical="center" wrapText="1"/>
    </xf>
    <xf numFmtId="0" fontId="8" fillId="11" borderId="53" xfId="5" applyFont="1" applyFill="1" applyBorder="1" applyAlignment="1" applyProtection="1">
      <alignment horizontal="center" vertical="center" wrapText="1"/>
    </xf>
    <xf numFmtId="0" fontId="8" fillId="11" borderId="11" xfId="5" applyFont="1" applyFill="1" applyBorder="1" applyAlignment="1" applyProtection="1">
      <alignment horizontal="center" vertical="center" wrapText="1"/>
    </xf>
    <xf numFmtId="0" fontId="8" fillId="11" borderId="42" xfId="5" applyFont="1" applyFill="1" applyBorder="1" applyAlignment="1" applyProtection="1">
      <alignment horizontal="center" vertical="center" wrapText="1"/>
    </xf>
    <xf numFmtId="0" fontId="8" fillId="11" borderId="32" xfId="5" applyFont="1" applyFill="1" applyBorder="1" applyAlignment="1" applyProtection="1">
      <alignment horizontal="center" vertical="center" wrapText="1"/>
    </xf>
    <xf numFmtId="0" fontId="8" fillId="11" borderId="52" xfId="5" applyFont="1" applyFill="1" applyBorder="1" applyAlignment="1" applyProtection="1">
      <alignment horizontal="center" vertical="center" wrapText="1"/>
    </xf>
    <xf numFmtId="0" fontId="8" fillId="11" borderId="55" xfId="5" applyFont="1" applyFill="1" applyBorder="1" applyAlignment="1" applyProtection="1">
      <alignment horizontal="center" vertical="center" wrapText="1"/>
    </xf>
    <xf numFmtId="0" fontId="8" fillId="11" borderId="2" xfId="5" applyFont="1" applyFill="1" applyBorder="1" applyAlignment="1" applyProtection="1">
      <alignment horizontal="center" vertical="center" wrapText="1"/>
    </xf>
    <xf numFmtId="0" fontId="8" fillId="11" borderId="1" xfId="5" applyFont="1" applyFill="1" applyBorder="1" applyAlignment="1" applyProtection="1">
      <alignment horizontal="center" vertical="center" wrapText="1"/>
    </xf>
    <xf numFmtId="0" fontId="22" fillId="3" borderId="51" xfId="5" applyFont="1" applyFill="1" applyBorder="1" applyAlignment="1" applyProtection="1">
      <alignment vertical="center" wrapText="1"/>
    </xf>
    <xf numFmtId="0" fontId="22" fillId="3" borderId="30" xfId="5" applyFont="1" applyFill="1" applyBorder="1" applyAlignment="1" applyProtection="1">
      <alignment vertical="center" wrapText="1"/>
    </xf>
    <xf numFmtId="0" fontId="22" fillId="3" borderId="23" xfId="5" applyFont="1" applyFill="1" applyBorder="1" applyAlignment="1" applyProtection="1">
      <alignment vertical="center" wrapText="1"/>
    </xf>
    <xf numFmtId="0" fontId="10" fillId="12" borderId="56" xfId="5" applyFont="1" applyFill="1" applyBorder="1" applyAlignment="1" applyProtection="1">
      <alignment horizontal="left" vertical="center" wrapText="1" indent="2"/>
    </xf>
    <xf numFmtId="0" fontId="10" fillId="12" borderId="13" xfId="5" applyFont="1" applyFill="1" applyBorder="1" applyAlignment="1" applyProtection="1">
      <alignment horizontal="left" vertical="center" wrapText="1" indent="2"/>
    </xf>
    <xf numFmtId="0" fontId="10" fillId="12" borderId="10" xfId="5" applyFont="1" applyFill="1" applyBorder="1" applyAlignment="1" applyProtection="1">
      <alignment horizontal="left" vertical="center" wrapText="1" indent="2"/>
    </xf>
    <xf numFmtId="0" fontId="12" fillId="3" borderId="56" xfId="5" applyFont="1" applyFill="1" applyBorder="1" applyAlignment="1" applyProtection="1">
      <alignment horizontal="left" vertical="center" wrapText="1"/>
    </xf>
    <xf numFmtId="0" fontId="12" fillId="3" borderId="13" xfId="5" applyFont="1" applyFill="1" applyBorder="1" applyAlignment="1" applyProtection="1">
      <alignment horizontal="left" vertical="center" wrapText="1"/>
    </xf>
    <xf numFmtId="0" fontId="22" fillId="12" borderId="51" xfId="5" applyFont="1" applyFill="1" applyBorder="1" applyAlignment="1" applyProtection="1">
      <alignment vertical="center" wrapText="1"/>
    </xf>
    <xf numFmtId="0" fontId="22" fillId="12" borderId="30" xfId="5" applyFont="1" applyFill="1" applyBorder="1" applyAlignment="1" applyProtection="1">
      <alignment vertical="center" wrapText="1"/>
    </xf>
    <xf numFmtId="0" fontId="22" fillId="12" borderId="23" xfId="5" applyFont="1" applyFill="1" applyBorder="1" applyAlignment="1" applyProtection="1">
      <alignment vertical="center" wrapText="1"/>
    </xf>
    <xf numFmtId="0" fontId="8" fillId="11" borderId="57" xfId="5" applyFont="1" applyFill="1" applyBorder="1" applyAlignment="1" applyProtection="1">
      <alignment vertical="center" wrapText="1"/>
    </xf>
    <xf numFmtId="0" fontId="9" fillId="3" borderId="56" xfId="5" applyFont="1" applyFill="1" applyBorder="1" applyAlignment="1" applyProtection="1">
      <alignment vertical="center" wrapText="1"/>
    </xf>
    <xf numFmtId="0" fontId="9" fillId="3" borderId="13" xfId="5" applyFont="1" applyFill="1" applyBorder="1" applyAlignment="1" applyProtection="1">
      <alignment vertical="center" wrapText="1"/>
    </xf>
    <xf numFmtId="0" fontId="9" fillId="3" borderId="10" xfId="5" applyFont="1" applyFill="1" applyBorder="1" applyAlignment="1" applyProtection="1">
      <alignment vertical="center" wrapText="1"/>
    </xf>
    <xf numFmtId="0" fontId="8" fillId="11" borderId="42" xfId="5" applyFont="1" applyFill="1" applyBorder="1" applyAlignment="1" applyProtection="1">
      <alignment horizontal="center" vertical="center"/>
    </xf>
    <xf numFmtId="0" fontId="8" fillId="11" borderId="32" xfId="5" applyFont="1" applyFill="1" applyBorder="1" applyAlignment="1" applyProtection="1">
      <alignment horizontal="center" vertical="center"/>
    </xf>
    <xf numFmtId="0" fontId="8" fillId="11" borderId="33" xfId="5" applyFont="1" applyFill="1" applyBorder="1" applyAlignment="1" applyProtection="1">
      <alignment horizontal="center" vertical="center"/>
    </xf>
    <xf numFmtId="0" fontId="7" fillId="0" borderId="20"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39"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0" fillId="4" borderId="30" xfId="0" applyFill="1" applyBorder="1" applyAlignment="1" applyProtection="1">
      <alignment horizontal="left"/>
    </xf>
    <xf numFmtId="0" fontId="0" fillId="4" borderId="23" xfId="0" applyFill="1" applyBorder="1" applyAlignment="1" applyProtection="1">
      <alignment horizontal="left"/>
    </xf>
    <xf numFmtId="0" fontId="0" fillId="4" borderId="13" xfId="0" applyFill="1" applyBorder="1" applyAlignment="1" applyProtection="1">
      <alignment horizontal="left"/>
    </xf>
    <xf numFmtId="0" fontId="0" fillId="4" borderId="10" xfId="0" applyFill="1" applyBorder="1" applyAlignment="1" applyProtection="1">
      <alignment horizontal="left"/>
    </xf>
    <xf numFmtId="0" fontId="0" fillId="0" borderId="20" xfId="0" applyBorder="1" applyAlignment="1" applyProtection="1">
      <alignment horizontal="left"/>
    </xf>
    <xf numFmtId="0" fontId="0" fillId="0" borderId="39" xfId="0" applyBorder="1" applyAlignment="1" applyProtection="1">
      <alignment horizontal="left"/>
    </xf>
    <xf numFmtId="0" fontId="9" fillId="0" borderId="0" xfId="5" applyFont="1" applyFill="1" applyBorder="1" applyAlignment="1" applyProtection="1">
      <alignment horizontal="center" vertical="center" wrapText="1"/>
    </xf>
    <xf numFmtId="0" fontId="12" fillId="3" borderId="39" xfId="5" applyFont="1" applyFill="1" applyBorder="1" applyAlignment="1" applyProtection="1">
      <alignment horizontal="left" vertical="center" wrapText="1"/>
    </xf>
    <xf numFmtId="0" fontId="19" fillId="0" borderId="2" xfId="5" applyFont="1" applyFill="1" applyBorder="1" applyAlignment="1" applyProtection="1">
      <alignment horizontal="center" vertical="center" wrapText="1"/>
    </xf>
    <xf numFmtId="0" fontId="11" fillId="0" borderId="0" xfId="5"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12" fillId="3" borderId="6" xfId="5" applyFont="1" applyFill="1" applyBorder="1" applyAlignment="1" applyProtection="1">
      <alignment vertical="center" wrapText="1"/>
    </xf>
    <xf numFmtId="0" fontId="4" fillId="0" borderId="6" xfId="0" applyFont="1" applyBorder="1" applyAlignment="1" applyProtection="1">
      <alignment vertical="center" wrapText="1"/>
    </xf>
    <xf numFmtId="0" fontId="12" fillId="0" borderId="0" xfId="5" applyFont="1" applyFill="1" applyBorder="1" applyAlignment="1" applyProtection="1">
      <alignment horizontal="left" vertical="center" wrapText="1"/>
    </xf>
    <xf numFmtId="0" fontId="8" fillId="11" borderId="12" xfId="5" applyFont="1" applyFill="1" applyBorder="1" applyAlignment="1" applyProtection="1">
      <alignment vertical="center" wrapText="1"/>
    </xf>
    <xf numFmtId="0" fontId="8" fillId="11" borderId="13" xfId="5" applyFont="1" applyFill="1" applyBorder="1" applyAlignment="1" applyProtection="1">
      <alignment vertical="center" wrapText="1"/>
    </xf>
    <xf numFmtId="0" fontId="4" fillId="0" borderId="10" xfId="0" applyFont="1" applyBorder="1" applyAlignment="1" applyProtection="1">
      <alignment wrapText="1"/>
    </xf>
    <xf numFmtId="0" fontId="9" fillId="3" borderId="12" xfId="5" applyFont="1" applyFill="1" applyBorder="1" applyAlignment="1" applyProtection="1">
      <alignment vertical="center" wrapText="1"/>
    </xf>
    <xf numFmtId="0" fontId="4" fillId="3" borderId="13" xfId="0" applyFont="1" applyFill="1" applyBorder="1" applyAlignment="1" applyProtection="1">
      <alignment wrapText="1"/>
    </xf>
    <xf numFmtId="0" fontId="4" fillId="3" borderId="10" xfId="0" applyFont="1" applyFill="1" applyBorder="1" applyAlignment="1" applyProtection="1">
      <alignment wrapText="1"/>
    </xf>
    <xf numFmtId="0" fontId="7" fillId="0" borderId="0" xfId="0" applyFont="1" applyFill="1" applyBorder="1" applyAlignment="1" applyProtection="1">
      <alignment horizontal="left" wrapText="1"/>
    </xf>
    <xf numFmtId="0" fontId="9" fillId="3" borderId="39" xfId="5" applyFont="1" applyFill="1" applyBorder="1" applyAlignment="1" applyProtection="1">
      <alignment horizontal="left" vertical="center" wrapText="1"/>
    </xf>
    <xf numFmtId="0" fontId="8" fillId="11" borderId="5" xfId="5" applyFont="1" applyFill="1" applyBorder="1" applyAlignment="1" applyProtection="1">
      <alignment horizontal="left" vertical="center" wrapText="1"/>
    </xf>
    <xf numFmtId="0" fontId="8" fillId="11" borderId="0" xfId="5" applyFont="1" applyFill="1" applyBorder="1" applyAlignment="1" applyProtection="1">
      <alignment horizontal="left" vertical="center" wrapText="1"/>
    </xf>
    <xf numFmtId="0" fontId="8" fillId="11" borderId="39" xfId="5" applyFont="1" applyFill="1" applyBorder="1" applyAlignment="1" applyProtection="1">
      <alignment vertical="center" wrapText="1"/>
    </xf>
    <xf numFmtId="0" fontId="16" fillId="3" borderId="39" xfId="5" applyFont="1" applyFill="1" applyBorder="1" applyAlignment="1" applyProtection="1">
      <alignment vertical="center" wrapText="1"/>
    </xf>
    <xf numFmtId="0" fontId="10" fillId="12" borderId="12" xfId="5" applyFont="1" applyFill="1" applyBorder="1" applyAlignment="1" applyProtection="1">
      <alignment horizontal="left" vertical="center" wrapText="1" indent="2"/>
    </xf>
    <xf numFmtId="0" fontId="22" fillId="12" borderId="12" xfId="5" applyFont="1" applyFill="1" applyBorder="1" applyAlignment="1" applyProtection="1">
      <alignment vertical="center" wrapText="1"/>
    </xf>
    <xf numFmtId="0" fontId="22" fillId="12" borderId="13" xfId="5" applyFont="1" applyFill="1" applyBorder="1" applyAlignment="1" applyProtection="1">
      <alignment vertical="center" wrapText="1"/>
    </xf>
    <xf numFmtId="0" fontId="12" fillId="12" borderId="12" xfId="5" applyFont="1" applyFill="1" applyBorder="1" applyAlignment="1" applyProtection="1">
      <alignment horizontal="left" vertical="center" wrapText="1"/>
    </xf>
    <xf numFmtId="0" fontId="16" fillId="3" borderId="12" xfId="5" applyFont="1" applyFill="1" applyBorder="1" applyAlignment="1" applyProtection="1">
      <alignment vertical="center" wrapText="1"/>
    </xf>
    <xf numFmtId="9" fontId="9" fillId="3" borderId="12" xfId="5" applyNumberFormat="1" applyFont="1" applyFill="1" applyBorder="1" applyAlignment="1" applyProtection="1">
      <alignment horizontal="left" vertical="center" wrapText="1"/>
    </xf>
    <xf numFmtId="9" fontId="9" fillId="3" borderId="13" xfId="5" applyNumberFormat="1" applyFont="1" applyFill="1" applyBorder="1" applyAlignment="1" applyProtection="1">
      <alignment horizontal="left" vertical="center" wrapText="1"/>
    </xf>
    <xf numFmtId="9" fontId="9" fillId="3" borderId="10" xfId="5" applyNumberFormat="1" applyFont="1" applyFill="1" applyBorder="1" applyAlignment="1" applyProtection="1">
      <alignment horizontal="left" vertical="center" wrapText="1"/>
    </xf>
    <xf numFmtId="14" fontId="9" fillId="3" borderId="39" xfId="5" applyNumberFormat="1" applyFont="1" applyFill="1" applyBorder="1" applyAlignment="1" applyProtection="1">
      <alignment horizontal="left" vertical="center" wrapText="1"/>
    </xf>
    <xf numFmtId="0" fontId="12" fillId="12" borderId="39" xfId="5" applyFont="1" applyFill="1" applyBorder="1" applyAlignment="1" applyProtection="1">
      <alignment horizontal="left" vertical="center" wrapText="1"/>
    </xf>
    <xf numFmtId="0" fontId="10" fillId="12" borderId="39" xfId="5" applyFont="1" applyFill="1" applyBorder="1" applyAlignment="1" applyProtection="1">
      <alignment horizontal="left" vertical="center" wrapText="1" indent="2"/>
    </xf>
    <xf numFmtId="0" fontId="19" fillId="18" borderId="12" xfId="5" applyFont="1" applyFill="1" applyBorder="1" applyAlignment="1" applyProtection="1">
      <alignment horizontal="center" vertical="center" wrapText="1"/>
    </xf>
    <xf numFmtId="0" fontId="19" fillId="18" borderId="10" xfId="5" applyFont="1" applyFill="1" applyBorder="1" applyAlignment="1" applyProtection="1">
      <alignment horizontal="center" vertical="center" wrapText="1"/>
    </xf>
    <xf numFmtId="44" fontId="9" fillId="17" borderId="0" xfId="5" applyNumberFormat="1" applyFont="1" applyFill="1" applyBorder="1" applyAlignment="1" applyProtection="1">
      <alignment horizontal="center" vertical="center" wrapText="1"/>
    </xf>
    <xf numFmtId="0" fontId="4" fillId="17" borderId="0" xfId="0" applyFont="1" applyFill="1" applyBorder="1" applyAlignment="1" applyProtection="1">
      <alignment vertical="center" wrapText="1"/>
    </xf>
    <xf numFmtId="0" fontId="22" fillId="3" borderId="12" xfId="5" applyFont="1" applyFill="1" applyBorder="1" applyAlignment="1" applyProtection="1">
      <alignment vertical="center" wrapText="1"/>
    </xf>
    <xf numFmtId="0" fontId="22" fillId="3" borderId="13" xfId="5" applyFont="1" applyFill="1" applyBorder="1" applyAlignment="1" applyProtection="1">
      <alignment vertical="center" wrapText="1"/>
    </xf>
    <xf numFmtId="0" fontId="22" fillId="12" borderId="39" xfId="5" applyFont="1" applyFill="1" applyBorder="1" applyAlignment="1" applyProtection="1">
      <alignment vertical="center" wrapText="1"/>
    </xf>
    <xf numFmtId="0" fontId="10" fillId="12" borderId="12" xfId="5" applyFont="1" applyFill="1" applyBorder="1" applyAlignment="1" applyProtection="1">
      <alignment horizontal="left" vertical="center" indent="2"/>
    </xf>
    <xf numFmtId="0" fontId="4" fillId="0" borderId="10" xfId="0" applyFont="1" applyBorder="1" applyAlignment="1" applyProtection="1">
      <alignment horizontal="left" vertical="center" indent="2"/>
    </xf>
    <xf numFmtId="0" fontId="4" fillId="0" borderId="10" xfId="0" applyFont="1" applyBorder="1" applyAlignment="1" applyProtection="1">
      <alignment vertical="center" wrapText="1"/>
    </xf>
    <xf numFmtId="49" fontId="9" fillId="0" borderId="12" xfId="5" applyNumberFormat="1" applyFont="1" applyFill="1" applyBorder="1" applyAlignment="1" applyProtection="1">
      <alignment horizontal="left" vertical="center" wrapText="1"/>
      <protection locked="0"/>
    </xf>
    <xf numFmtId="49" fontId="9" fillId="0" borderId="10" xfId="5" applyNumberFormat="1" applyFont="1" applyFill="1" applyBorder="1" applyAlignment="1" applyProtection="1">
      <alignment horizontal="left" vertical="center" wrapText="1"/>
      <protection locked="0"/>
    </xf>
    <xf numFmtId="0" fontId="11" fillId="0" borderId="0" xfId="5" applyFont="1" applyFill="1" applyBorder="1" applyAlignment="1" applyProtection="1">
      <alignment horizontal="left" vertical="center" wrapText="1"/>
      <protection hidden="1"/>
    </xf>
    <xf numFmtId="0" fontId="8" fillId="11" borderId="12" xfId="5" applyFont="1" applyFill="1" applyBorder="1" applyAlignment="1" applyProtection="1">
      <alignment vertical="center"/>
      <protection hidden="1"/>
    </xf>
    <xf numFmtId="0" fontId="8" fillId="11" borderId="10" xfId="5" applyFont="1" applyFill="1" applyBorder="1" applyAlignment="1" applyProtection="1">
      <alignment vertical="center"/>
      <protection hidden="1"/>
    </xf>
    <xf numFmtId="0" fontId="8" fillId="11" borderId="12" xfId="5" applyFont="1" applyFill="1" applyBorder="1" applyAlignment="1" applyProtection="1">
      <alignment horizontal="left" vertical="center"/>
      <protection hidden="1"/>
    </xf>
    <xf numFmtId="0" fontId="8" fillId="11" borderId="10" xfId="5" applyFont="1" applyFill="1" applyBorder="1" applyAlignment="1" applyProtection="1">
      <alignment horizontal="left" vertical="center"/>
      <protection hidden="1"/>
    </xf>
    <xf numFmtId="0" fontId="8" fillId="11" borderId="12" xfId="5" applyFont="1" applyFill="1" applyBorder="1" applyAlignment="1" applyProtection="1">
      <alignment horizontal="left" vertical="center" wrapText="1"/>
      <protection hidden="1"/>
    </xf>
    <xf numFmtId="0" fontId="8" fillId="11" borderId="10" xfId="5" applyFont="1" applyFill="1" applyBorder="1" applyAlignment="1" applyProtection="1">
      <alignment horizontal="left" vertical="center" wrapText="1"/>
      <protection hidden="1"/>
    </xf>
    <xf numFmtId="49" fontId="9" fillId="3" borderId="12" xfId="5" applyNumberFormat="1" applyFont="1" applyFill="1" applyBorder="1" applyAlignment="1" applyProtection="1">
      <alignment horizontal="left" vertical="center" wrapText="1"/>
      <protection hidden="1"/>
    </xf>
    <xf numFmtId="49" fontId="9" fillId="3" borderId="13" xfId="5" applyNumberFormat="1" applyFont="1" applyFill="1" applyBorder="1" applyAlignment="1" applyProtection="1">
      <alignment horizontal="left" vertical="center" wrapText="1"/>
      <protection hidden="1"/>
    </xf>
    <xf numFmtId="44" fontId="7" fillId="3" borderId="15" xfId="6" applyFont="1" applyFill="1" applyBorder="1" applyAlignment="1" applyProtection="1">
      <alignment horizontal="center" vertical="center" wrapText="1"/>
      <protection hidden="1"/>
    </xf>
    <xf numFmtId="44" fontId="7" fillId="3" borderId="11" xfId="6" applyFont="1" applyFill="1" applyBorder="1" applyAlignment="1" applyProtection="1">
      <alignment horizontal="center" vertical="center" wrapText="1"/>
      <protection hidden="1"/>
    </xf>
    <xf numFmtId="0" fontId="9" fillId="17" borderId="1" xfId="5" applyFont="1" applyFill="1" applyBorder="1" applyAlignment="1" applyProtection="1">
      <alignment horizontal="left" vertical="center" wrapText="1"/>
    </xf>
    <xf numFmtId="0" fontId="9" fillId="17" borderId="11" xfId="5" applyFont="1" applyFill="1" applyBorder="1" applyAlignment="1" applyProtection="1">
      <alignment horizontal="left" vertical="center" wrapText="1"/>
    </xf>
    <xf numFmtId="0" fontId="26" fillId="20" borderId="22" xfId="5" applyFont="1" applyFill="1" applyBorder="1" applyAlignment="1" applyProtection="1">
      <alignment horizontal="center" vertical="top" wrapText="1"/>
    </xf>
    <xf numFmtId="0" fontId="26" fillId="20" borderId="30" xfId="5" applyFont="1" applyFill="1" applyBorder="1" applyAlignment="1" applyProtection="1">
      <alignment horizontal="center" vertical="top" wrapText="1"/>
    </xf>
    <xf numFmtId="0" fontId="26" fillId="20" borderId="46" xfId="5" applyFont="1" applyFill="1" applyBorder="1" applyAlignment="1" applyProtection="1">
      <alignment horizontal="center" vertical="top" wrapText="1"/>
    </xf>
    <xf numFmtId="0" fontId="12" fillId="19" borderId="39" xfId="5" applyFont="1" applyFill="1" applyBorder="1" applyAlignment="1" applyProtection="1">
      <alignment horizontal="left" vertical="center" wrapText="1"/>
    </xf>
    <xf numFmtId="0" fontId="11" fillId="0" borderId="0" xfId="5" applyFont="1" applyFill="1" applyBorder="1" applyAlignment="1" applyProtection="1">
      <alignment horizontal="left" vertical="center" wrapText="1"/>
    </xf>
    <xf numFmtId="0" fontId="29" fillId="16" borderId="17" xfId="5" applyFont="1" applyFill="1" applyBorder="1" applyAlignment="1" applyProtection="1">
      <alignment horizontal="left" vertical="center" wrapText="1"/>
    </xf>
    <xf numFmtId="0" fontId="29" fillId="16" borderId="18" xfId="5" applyFont="1" applyFill="1" applyBorder="1" applyAlignment="1" applyProtection="1">
      <alignment horizontal="left" vertical="center" wrapText="1"/>
    </xf>
    <xf numFmtId="0" fontId="27" fillId="11" borderId="16" xfId="5" applyFont="1" applyFill="1" applyBorder="1" applyAlignment="1" applyProtection="1">
      <alignment horizontal="left" vertical="top" wrapText="1"/>
    </xf>
    <xf numFmtId="0" fontId="27" fillId="11" borderId="32" xfId="5" applyFont="1" applyFill="1" applyBorder="1" applyAlignment="1" applyProtection="1">
      <alignment horizontal="left" vertical="top" wrapText="1"/>
    </xf>
    <xf numFmtId="0" fontId="27" fillId="11" borderId="18" xfId="5" applyFont="1" applyFill="1" applyBorder="1" applyAlignment="1" applyProtection="1">
      <alignment horizontal="left" vertical="top" wrapText="1"/>
    </xf>
    <xf numFmtId="0" fontId="22" fillId="9" borderId="8" xfId="5" applyFont="1" applyFill="1" applyBorder="1" applyAlignment="1" applyProtection="1">
      <alignment horizontal="center" vertical="center" wrapText="1"/>
    </xf>
    <xf numFmtId="0" fontId="22" fillId="9" borderId="7" xfId="5" applyFont="1" applyFill="1" applyBorder="1" applyAlignment="1" applyProtection="1">
      <alignment horizontal="center" vertical="center" wrapText="1"/>
    </xf>
    <xf numFmtId="0" fontId="26" fillId="17" borderId="0" xfId="5" applyFont="1" applyFill="1" applyBorder="1" applyAlignment="1" applyProtection="1">
      <alignment horizontal="center" vertical="center" wrapText="1"/>
    </xf>
    <xf numFmtId="0" fontId="12" fillId="17" borderId="0" xfId="5" applyFont="1" applyFill="1" applyBorder="1" applyAlignment="1" applyProtection="1">
      <alignment horizontal="center" vertical="center" wrapText="1"/>
    </xf>
    <xf numFmtId="0" fontId="29" fillId="9" borderId="9" xfId="0" applyFont="1" applyFill="1" applyBorder="1" applyAlignment="1" applyProtection="1">
      <alignment horizontal="center" vertical="center"/>
    </xf>
    <xf numFmtId="0" fontId="29" fillId="9" borderId="7" xfId="0" applyFont="1" applyFill="1" applyBorder="1" applyAlignment="1" applyProtection="1">
      <alignment horizontal="center" vertical="center"/>
    </xf>
    <xf numFmtId="0" fontId="26" fillId="18" borderId="8" xfId="5" applyFont="1" applyFill="1" applyBorder="1" applyAlignment="1" applyProtection="1">
      <alignment horizontal="center" vertical="top" wrapText="1"/>
    </xf>
    <xf numFmtId="0" fontId="26" fillId="18" borderId="7" xfId="5" applyFont="1" applyFill="1" applyBorder="1" applyAlignment="1" applyProtection="1">
      <alignment horizontal="center" vertical="top" wrapText="1"/>
    </xf>
    <xf numFmtId="0" fontId="27" fillId="8" borderId="8" xfId="5" applyFont="1" applyFill="1" applyBorder="1" applyAlignment="1" applyProtection="1">
      <alignment horizontal="center" vertical="top" wrapText="1"/>
    </xf>
    <xf numFmtId="0" fontId="26" fillId="8" borderId="22" xfId="5" applyFont="1" applyFill="1" applyBorder="1" applyAlignment="1" applyProtection="1">
      <alignment horizontal="center" vertical="center" wrapText="1"/>
    </xf>
    <xf numFmtId="0" fontId="26" fillId="8" borderId="30" xfId="5" applyFont="1" applyFill="1" applyBorder="1" applyAlignment="1" applyProtection="1">
      <alignment horizontal="center" vertical="center" wrapText="1"/>
    </xf>
    <xf numFmtId="0" fontId="27" fillId="11" borderId="42" xfId="5" applyFont="1" applyFill="1" applyBorder="1" applyAlignment="1" applyProtection="1">
      <alignment horizontal="left" vertical="top" wrapText="1"/>
    </xf>
    <xf numFmtId="0" fontId="26" fillId="18" borderId="30" xfId="5" applyFont="1" applyFill="1" applyBorder="1" applyAlignment="1" applyProtection="1">
      <alignment horizontal="center" vertical="top" wrapText="1"/>
    </xf>
    <xf numFmtId="0" fontId="26" fillId="18" borderId="23" xfId="5" applyFont="1" applyFill="1" applyBorder="1" applyAlignment="1" applyProtection="1">
      <alignment horizontal="center" vertical="top" wrapText="1"/>
    </xf>
    <xf numFmtId="0" fontId="27" fillId="8" borderId="22" xfId="5" applyFont="1" applyFill="1" applyBorder="1" applyAlignment="1" applyProtection="1">
      <alignment horizontal="center" vertical="center" wrapText="1"/>
    </xf>
    <xf numFmtId="0" fontId="27" fillId="8" borderId="30" xfId="5" applyFont="1" applyFill="1" applyBorder="1" applyAlignment="1" applyProtection="1">
      <alignment horizontal="center" vertical="center" wrapText="1"/>
    </xf>
    <xf numFmtId="0" fontId="27" fillId="8" borderId="9" xfId="5" applyFont="1" applyFill="1" applyBorder="1" applyAlignment="1" applyProtection="1">
      <alignment horizontal="center" vertical="top" wrapText="1"/>
    </xf>
    <xf numFmtId="0" fontId="27" fillId="8" borderId="7" xfId="5" applyFont="1" applyFill="1" applyBorder="1" applyAlignment="1" applyProtection="1">
      <alignment horizontal="center" vertical="top" wrapText="1"/>
    </xf>
    <xf numFmtId="0" fontId="26" fillId="18" borderId="54" xfId="5" applyFont="1" applyFill="1" applyBorder="1" applyAlignment="1" applyProtection="1">
      <alignment horizontal="center" vertical="top" wrapText="1"/>
    </xf>
    <xf numFmtId="0" fontId="26" fillId="18" borderId="52" xfId="5" applyFont="1" applyFill="1" applyBorder="1" applyAlignment="1" applyProtection="1">
      <alignment horizontal="center" vertical="top" wrapText="1"/>
    </xf>
    <xf numFmtId="0" fontId="27" fillId="8" borderId="54" xfId="5" applyFont="1" applyFill="1" applyBorder="1" applyAlignment="1" applyProtection="1">
      <alignment horizontal="center" vertical="top" wrapText="1"/>
    </xf>
    <xf numFmtId="0" fontId="27" fillId="8" borderId="32" xfId="5" applyFont="1" applyFill="1" applyBorder="1" applyAlignment="1" applyProtection="1">
      <alignment horizontal="center" vertical="top" wrapText="1"/>
    </xf>
    <xf numFmtId="0" fontId="27" fillId="8" borderId="52" xfId="5" applyFont="1" applyFill="1" applyBorder="1" applyAlignment="1" applyProtection="1">
      <alignment horizontal="center" vertical="top" wrapText="1"/>
    </xf>
    <xf numFmtId="0" fontId="27" fillId="11" borderId="33" xfId="5" applyFont="1" applyFill="1" applyBorder="1" applyAlignment="1" applyProtection="1">
      <alignment horizontal="left" vertical="top" wrapText="1"/>
    </xf>
    <xf numFmtId="0" fontId="26" fillId="18" borderId="9" xfId="5" applyFont="1" applyFill="1" applyBorder="1" applyAlignment="1" applyProtection="1">
      <alignment horizontal="center" vertical="top" wrapText="1"/>
    </xf>
    <xf numFmtId="0" fontId="9" fillId="17" borderId="0" xfId="5" applyFont="1" applyFill="1" applyAlignment="1" applyProtection="1">
      <alignment horizontal="left" vertical="center" wrapText="1"/>
    </xf>
    <xf numFmtId="0" fontId="9" fillId="17" borderId="4" xfId="5" applyFont="1" applyFill="1" applyBorder="1" applyAlignment="1" applyProtection="1">
      <alignment horizontal="left" vertical="center" wrapText="1"/>
    </xf>
    <xf numFmtId="0" fontId="26" fillId="18" borderId="20" xfId="5" applyFont="1" applyFill="1" applyBorder="1" applyAlignment="1" applyProtection="1">
      <alignment horizontal="center" vertical="top" wrapText="1"/>
    </xf>
    <xf numFmtId="0" fontId="27" fillId="8" borderId="20" xfId="5" applyFont="1" applyFill="1" applyBorder="1" applyAlignment="1" applyProtection="1">
      <alignment horizontal="center" vertical="top" wrapText="1"/>
    </xf>
    <xf numFmtId="0" fontId="27" fillId="11" borderId="34" xfId="5" applyFont="1" applyFill="1" applyBorder="1" applyAlignment="1" applyProtection="1">
      <alignment horizontal="left" vertical="top" wrapText="1"/>
    </xf>
    <xf numFmtId="0" fontId="27" fillId="11" borderId="35" xfId="5" applyFont="1" applyFill="1" applyBorder="1" applyAlignment="1" applyProtection="1">
      <alignment horizontal="left" vertical="top" wrapText="1"/>
    </xf>
    <xf numFmtId="0" fontId="27" fillId="11" borderId="36" xfId="5" applyFont="1" applyFill="1" applyBorder="1" applyAlignment="1" applyProtection="1">
      <alignment horizontal="left" vertical="top" wrapText="1"/>
    </xf>
    <xf numFmtId="0" fontId="27" fillId="8" borderId="21" xfId="5" applyFont="1" applyFill="1" applyBorder="1" applyAlignment="1" applyProtection="1">
      <alignment horizontal="center" vertical="top" wrapText="1"/>
    </xf>
  </cellXfs>
  <cellStyles count="8">
    <cellStyle name="Euro" xfId="1"/>
    <cellStyle name="Prozent 2" xfId="2"/>
    <cellStyle name="Standard" xfId="0" builtinId="0"/>
    <cellStyle name="Standard 2" xfId="3"/>
    <cellStyle name="Standard 3" xfId="4"/>
    <cellStyle name="Standard 4" xfId="5"/>
    <cellStyle name="Währung 2" xfId="6"/>
    <cellStyle name="Währung 3" xfId="7"/>
  </cellStyles>
  <dxfs count="268">
    <dxf>
      <font>
        <b val="0"/>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92D050"/>
        </patternFill>
      </fill>
    </dxf>
    <dxf>
      <font>
        <b val="0"/>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92D050"/>
        </patternFill>
      </fill>
    </dxf>
    <dxf>
      <font>
        <b val="0"/>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fill>
        <patternFill patternType="solid">
          <fgColor indexed="64"/>
          <bgColor theme="6" tint="0.39997558519241921"/>
        </patternFill>
      </fill>
      <alignment horizontal="right" vertical="center" textRotation="0" wrapText="1" indent="0" justifyLastLine="0" shrinkToFit="0" readingOrder="0"/>
      <border diagonalUp="0" diagonalDown="0" outline="0">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none">
          <fgColor indexed="64"/>
          <bgColor indexed="65"/>
        </patternFill>
      </fill>
      <alignment horizontal="right" vertical="center" textRotation="0" wrapText="1" indent="0" justifyLastLine="0" shrinkToFit="0" readingOrder="0"/>
      <border diagonalUp="0" diagonalDown="0" outline="0">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92D050"/>
        </patternFill>
      </fill>
    </dxf>
    <dxf>
      <font>
        <b val="0"/>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92D050"/>
        </patternFill>
      </fill>
    </dxf>
    <dxf>
      <font>
        <b val="0"/>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92D050"/>
        </patternFill>
      </fill>
    </dxf>
    <dxf>
      <font>
        <b val="0"/>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righ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92D050"/>
        </patternFill>
      </fill>
    </dxf>
    <dxf>
      <font>
        <b val="0"/>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righ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65" formatCode="&quot;€&quot;\ #,##0.00"/>
      <fill>
        <patternFill patternType="solid">
          <fgColor indexed="64"/>
          <bgColor theme="6" tint="0.39997558519241921"/>
        </patternFill>
      </fill>
      <alignment horizontal="right" vertical="center" textRotation="0" wrapText="1" indent="0" justifyLastLine="0" shrinkToFit="0" readingOrder="0"/>
      <border diagonalUp="0" diagonalDown="0">
        <left style="thin">
          <color auto="1"/>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4" formatCode="_-&quot;€&quot;\ * #,##0.00_-;\-&quot;€&quot;\ * #,##0.00_-;_-&quot;€&quot;\ * &quot;-&quot;??_-;_-@_-"/>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92D050"/>
        </patternFill>
      </fill>
    </dxf>
    <dxf>
      <font>
        <b val="0"/>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scheme val="minor"/>
      </font>
      <numFmt numFmtId="34" formatCode="_-&quot;€&quot;\ * #,##0.00_-;\-&quot;€&quot;\ * #,##0.00_-;_-&quot;€&quot;\ * &quot;-&quot;??_-;_-@_-"/>
      <fill>
        <patternFill patternType="solid">
          <fgColor indexed="64"/>
          <bgColor theme="6" tint="0.7999816888943144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65" formatCode="&quot;€&quot;\ #,##0.00"/>
      <fill>
        <patternFill patternType="solid">
          <fgColor indexed="64"/>
          <bgColor theme="6" tint="0.39997558519241921"/>
        </patternFill>
      </fill>
      <alignment horizontal="right" vertical="center" textRotation="0" wrapText="1" indent="0" justifyLastLine="0" shrinkToFit="0" readingOrder="0"/>
      <border diagonalUp="0" diagonalDown="0">
        <left style="thin">
          <color auto="1"/>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solid">
          <fgColor indexed="64"/>
          <bgColor theme="6" tint="0.79998168889431442"/>
        </patternFill>
      </fill>
      <alignment horizontal="right" vertical="center" textRotation="0" wrapText="1" indent="0" justifyLastLine="0" shrinkToFit="0" readingOrder="0"/>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solid">
          <fgColor indexed="64"/>
          <bgColor theme="6" tint="0.79998168889431442"/>
        </patternFill>
      </fill>
      <alignment horizontal="right" vertical="center" textRotation="0" wrapText="1" indent="0" justifyLastLine="0" shrinkToFit="0" readingOrder="0"/>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solid">
          <fgColor indexed="64"/>
          <bgColor theme="6" tint="0.79998168889431442"/>
        </patternFill>
      </fill>
      <alignment horizontal="right" vertical="center" textRotation="0" wrapText="1" indent="0" justifyLastLine="0" shrinkToFit="0" readingOrder="0"/>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quot;€&quot;\ #,##0.00"/>
      <fill>
        <patternFill patternType="solid">
          <fgColor indexed="64"/>
          <bgColor theme="6" tint="0.79998168889431442"/>
        </patternFill>
      </fill>
      <alignment horizontal="right" vertical="center" textRotation="0" wrapText="1" indent="0" justifyLastLine="0" shrinkToFit="0" readingOrder="0"/>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4" formatCode="_-&quot;€&quot;\ * #,##0.00_-;\-&quot;€&quot;\ * #,##0.00_-;_-&quot;€&quot;\ * &quot;-&quot;??_-;_-@_-"/>
      <fill>
        <patternFill patternType="none">
          <fgColor indexed="64"/>
          <bgColor indexed="65"/>
        </patternFill>
      </fill>
      <alignment horizontal="right"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thin">
          <color auto="1"/>
        </right>
        <top style="thin">
          <color indexed="64"/>
        </top>
        <bottom style="thin">
          <color indexed="64"/>
        </bottom>
        <vertical style="thin">
          <color auto="1"/>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bgColor theme="5" tint="0.59996337778862885"/>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rgb="FF92D050"/>
        </patternFill>
      </fill>
    </dxf>
    <dxf>
      <fill>
        <patternFill>
          <bgColor theme="5" tint="0.59996337778862885"/>
        </patternFill>
      </fill>
    </dxf>
    <dxf>
      <fill>
        <patternFill>
          <bgColor rgb="FFFFC000"/>
        </patternFill>
      </fill>
    </dxf>
    <dxf>
      <fill>
        <patternFill>
          <bgColor rgb="FF92D050"/>
        </patternFill>
      </fill>
    </dxf>
    <dxf>
      <fill>
        <patternFill>
          <bgColor theme="5" tint="0.59996337778862885"/>
        </patternFill>
      </fill>
    </dxf>
    <dxf>
      <fill>
        <patternFill>
          <bgColor theme="5" tint="0.59996337778862885"/>
        </patternFill>
      </fill>
    </dxf>
    <dxf>
      <fill>
        <patternFill>
          <bgColor rgb="FFFF0000"/>
        </patternFill>
      </fill>
    </dxf>
    <dxf>
      <fill>
        <patternFill>
          <bgColor theme="5" tint="0.59996337778862885"/>
        </patternFill>
      </fill>
    </dxf>
    <dxf>
      <fill>
        <patternFill>
          <bgColor theme="6"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vie-hq-fs04\shared$\SEKTION%20VIII\VIII.3\3_NATIONAL\4_AUFRUF\Aufruf_2017\1_Aufruf\finale_Unterlagen\2_Antragsformu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Cockpit"/>
      <sheetName val="H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Angaben zum Förderungswerber"/>
      <sheetName val="Angaben zu Projektpartnern"/>
      <sheetName val="Angaben zum Projekt"/>
      <sheetName val="Stammdaten Indikatoren"/>
      <sheetName val="Indikatoren 1"/>
      <sheetName val="Indikatoren 2"/>
      <sheetName val="Indikatoren 3"/>
      <sheetName val="Indikatoren 4"/>
      <sheetName val="Indikatoren 5"/>
      <sheetName val="Indikatoren 6"/>
      <sheetName val="Indikatoren 7"/>
      <sheetName val="Indikatoren 8"/>
      <sheetName val="Indikatoren 9"/>
      <sheetName val="Indikatoren 10"/>
      <sheetName val="Indikatoren 11"/>
      <sheetName val="Indikatoren 12"/>
      <sheetName val="Indikatoren 13"/>
      <sheetName val="Indikatoren 14"/>
      <sheetName val="Indikatoren 15"/>
      <sheetName val="Indikatoren 16"/>
      <sheetName val="Indikatoren 17"/>
      <sheetName val="Indikatoren 18"/>
      <sheetName val="Indikatoren 19"/>
      <sheetName val="Indikatoren 20"/>
      <sheetName val="Indikatoren 21"/>
      <sheetName val="Indikatoren 22"/>
      <sheetName val="Indikatoren 23"/>
      <sheetName val="Indikatoren 24"/>
      <sheetName val="Indikatoren 25"/>
      <sheetName val="Indikatoren 26"/>
      <sheetName val="Indikatoren 27"/>
      <sheetName val="Indikator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ables/table1.xml><?xml version="1.0" encoding="utf-8"?>
<table xmlns="http://schemas.openxmlformats.org/spreadsheetml/2006/main" id="7" name="Tabelle7" displayName="Tabelle7" ref="C7:AE17" totalsRowShown="0" headerRowDxfId="252" headerRowBorderDxfId="251" tableBorderDxfId="250" totalsRowBorderDxfId="249">
  <tableColumns count="29">
    <tableColumn id="1" name="Lfd. Nr." dataDxfId="248" dataCellStyle="Standard 4">
      <calculatedColumnFormula>"a.1."&amp;ROW()-7</calculatedColumnFormula>
    </tableColumn>
    <tableColumn id="24" name="Beleg Nr." dataDxfId="247" dataCellStyle="Standard 4"/>
    <tableColumn id="21" name="Maß-nahme" dataDxfId="246" dataCellStyle="Standard 4"/>
    <tableColumn id="2" name="Name der Mitarbeiterin oder des Mitarbeiters" dataDxfId="245" dataCellStyle="Standard 4"/>
    <tableColumn id="3" name="Funktion im Projekt " dataDxfId="244" dataCellStyle="Standard 4"/>
    <tableColumn id="4" name="Förderfähige Gesamtkosten am Lohnkonto" dataDxfId="243" dataCellStyle="Standard 4"/>
    <tableColumn id="5" name="IST-Stunden gesamt für die Zeit, auf die sich das Lohnkonto bezieht" dataDxfId="242" dataCellStyle="Standard 4"/>
    <tableColumn id="28" name="IST-Stunden Abrechnungs-zeitraum &quot;A&quot; _x000a_(1. ZWB)" dataDxfId="241" dataCellStyle="Standard 4"/>
    <tableColumn id="29" name="IST-Stunden Abrechnungs-zeitraum &quot;B&quot; _x000a_(2. ZWB)" dataDxfId="240" dataCellStyle="Standard 4"/>
    <tableColumn id="30" name="IST-Stunden Abrechnungs-zeitraum &quot;C&quot; _x000a_(3. ZWB)" dataDxfId="239" dataCellStyle="Standard 4"/>
    <tableColumn id="6" name="IST-Stunden Abrechnungs-zeitraum &quot;D&quot; _x000a_(Endbericht)" dataDxfId="238" dataCellStyle="Standard 4"/>
    <tableColumn id="7" name="Anmerkungen zur Berechnung" dataDxfId="237" dataCellStyle="Standard 4"/>
    <tableColumn id="8" name="Beleg vorgelegt (j/n)" dataDxfId="236" dataCellStyle="Standard 4"/>
    <tableColumn id="9" name="Dienstvertrag vorgelegt (j/n)" dataDxfId="235" dataCellStyle="Standard 4"/>
    <tableColumn id="10" name="Zeitaufzei-chnungen vorgelegt (j/n)" dataDxfId="234" dataCellStyle="Standard 4"/>
    <tableColumn id="23" name="Betrag Abrechnungs-zeitraum &quot;A&quot;_x000a_1. ZWB" dataDxfId="233" dataCellStyle="Standard 4">
      <calculatedColumnFormula>IF(SUM(Tabelle7[[#This Row],[IST-Stunden Abrechnungs-zeitraum "A" 
(1. ZWB)]:[IST-Stunden Abrechnungs-zeitraum "D" 
(Endbericht)]])&gt;$I8,"zu viele Stunden im Projekt",ROUNDUP(IF($I8=0,0,$H8/$I8*J8),2))</calculatedColumnFormula>
    </tableColumn>
    <tableColumn id="25" name="Betrag Abrechnungs-zeitraum &quot;B&quot;_x000a_2. ZWB" dataDxfId="232" dataCellStyle="Standard 4">
      <calculatedColumnFormula>IF(SUM(Tabelle7[[#This Row],[IST-Stunden Abrechnungs-zeitraum "A" 
(1. ZWB)]:[IST-Stunden Abrechnungs-zeitraum "D" 
(Endbericht)]])&gt;$I8,"zu viele Stunden im Projekt",ROUNDUP(IF($I8=0,0,$H8/$I8*K8),2))</calculatedColumnFormula>
    </tableColumn>
    <tableColumn id="26" name="Betrag Abrechnungs-zeitraum &quot;C&quot;_x000a_3. ZWB" dataDxfId="231" dataCellStyle="Standard 4">
      <calculatedColumnFormula>IF(SUM(Tabelle7[[#This Row],[IST-Stunden Abrechnungs-zeitraum "A" 
(1. ZWB)]:[IST-Stunden Abrechnungs-zeitraum "D" 
(Endbericht)]])&gt;$I8,"zu viele Stunden im Projekt",ROUNDUP(IF($I8=0,0,$H8/$I8*L8),2))</calculatedColumnFormula>
    </tableColumn>
    <tableColumn id="27" name="Betrag Abrechnungs-zeitraum &quot;D&quot;_x000a_Endbericht" dataDxfId="230" dataCellStyle="Standard 4">
      <calculatedColumnFormula>IF(SUM(Tabelle7[[#This Row],[IST-Stunden Abrechnungs-zeitraum "A" 
(1. ZWB)]:[IST-Stunden Abrechnungs-zeitraum "D" 
(Endbericht)]])&gt;$I8,"zu viele Stunden im Projekt",ROUNDUP(IF($I8=0,0,$H8/$I8*M8),2))</calculatedColumnFormula>
    </tableColumn>
    <tableColumn id="11" name="Betrag_x000a_Gesamt" dataDxfId="229" dataCellStyle="Währung 3">
      <calculatedColumnFormula>SUM(Tabelle7[[#This Row],[Betrag Abrechnungs-zeitraum "A"
1. ZWB]:[Betrag Abrechnungs-zeitraum "D"
Endbericht]])</calculatedColumnFormula>
    </tableColumn>
    <tableColumn id="12" name="Beleg geprüft_x000a_(j)" dataDxfId="228" dataCellStyle="Standard 4"/>
    <tableColumn id="13" name="anerkannter Betrag nach Prüfung der Endabrechnung" dataDxfId="227" dataCellStyle="Standard 4">
      <calculatedColumnFormula>IF(Eingabe!$Q$45="ja", V8-Y8+AC8,Overview!$AA$15)</calculatedColumnFormula>
    </tableColumn>
    <tableColumn id="14" name="aberkannter Betrag nach Prüfung der Endabrechnung" dataDxfId="226" dataCellStyle="Standard 4"/>
    <tableColumn id="15" name="Begründung (bei Aberkennung)" dataDxfId="225" dataCellStyle="Standard 4"/>
    <tableColumn id="16" name="Bitte um Stellung-nahme_x000a_(j wenn ja)" dataDxfId="224" dataCellStyle="Standard 4"/>
    <tableColumn id="17" name="Stellungnahme Fördernehmer/in_x000a_(Bezug auf eine Anlage bitte explizit bennenen)" dataDxfId="223" dataCellStyle="Standard 4"/>
    <tableColumn id="18" name="Betrag der Änderung der Aberkennung _x000a_(+ entspricht Zuerkennung)" dataDxfId="222" dataCellStyle="Standard 4"/>
    <tableColumn id="19" name="Kommentar ADA" dataDxfId="221" dataCellStyle="Standard 4"/>
    <tableColumn id="20" name="Lfd. Nr.2" dataDxfId="220" dataCellStyle="Standard 4">
      <calculatedColumnFormula>C8</calculatedColumnFormula>
    </tableColumn>
  </tableColumns>
  <tableStyleInfo name="TableStyleLight1" showFirstColumn="0" showLastColumn="0" showRowStripes="0" showColumnStripes="0"/>
</table>
</file>

<file path=xl/tables/table2.xml><?xml version="1.0" encoding="utf-8"?>
<table xmlns="http://schemas.openxmlformats.org/spreadsheetml/2006/main" id="4" name="Tabelle75" displayName="Tabelle75" ref="C7:AE17" totalsRowShown="0" headerRowDxfId="213" headerRowBorderDxfId="212" tableBorderDxfId="211" totalsRowBorderDxfId="210">
  <autoFilter ref="C7:AE17">
    <filterColumn colId="0" hiddenButton="1"/>
    <filterColumn colId="1" hiddenButton="1"/>
    <filterColumn colId="2" hiddenButton="1"/>
    <filterColumn colId="3" hiddenButton="1"/>
    <filterColumn colId="4" hiddenButton="1"/>
    <filterColumn colId="5" hiddenButton="1"/>
    <filterColumn colId="6" hiddenButton="1"/>
    <filterColumn colId="10" hiddenButton="1"/>
    <filterColumn colId="11" hiddenButton="1"/>
    <filterColumn colId="12" hiddenButton="1"/>
    <filterColumn colId="13" hiddenButton="1"/>
    <filterColumn colId="14"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name="Lfd. Nr." dataDxfId="209" dataCellStyle="Standard 4">
      <calculatedColumnFormula>"a.2."&amp;ROW()-7</calculatedColumnFormula>
    </tableColumn>
    <tableColumn id="24" name="Beleg Nr." dataDxfId="208" dataCellStyle="Standard 4"/>
    <tableColumn id="21" name="Maß-nahme" dataDxfId="207" dataCellStyle="Standard 4"/>
    <tableColumn id="2" name="Name der Mitarbeiterin oder des Mitarbeiters" dataDxfId="206" dataCellStyle="Standard 4"/>
    <tableColumn id="3" name="Funktion im Projekt " dataDxfId="205" dataCellStyle="Standard 4"/>
    <tableColumn id="4" name="Förderfähige Gesamtkosten am Lohnkonto" dataDxfId="204" dataCellStyle="Standard 4"/>
    <tableColumn id="5" name="IST-Stunden gesamt für die Zeit, auf die sich das Lohnkonto bezieht" dataDxfId="203" dataCellStyle="Standard 4"/>
    <tableColumn id="23" name="IST-Stunden Abrechnungs-zeitraum &quot;A&quot; _x000a_(1. ZWB)" dataDxfId="202" dataCellStyle="Standard 4"/>
    <tableColumn id="25" name="IST-Stunden Abrechnungs-zeitraum &quot;B&quot; _x000a_(2. ZWB)" dataDxfId="201" dataCellStyle="Standard 4"/>
    <tableColumn id="26" name="IST-Stunden Abrechnungs-zeitraum &quot;C&quot; _x000a_(3. ZWB)" dataDxfId="200" dataCellStyle="Standard 4"/>
    <tableColumn id="6" name="IST-Stunden Abrechnungs-zeitraum &quot;D&quot; _x000a_(Endbericht)" dataDxfId="199" dataCellStyle="Standard 4"/>
    <tableColumn id="7" name="Anmerkungen zur Berechnung" dataDxfId="198" dataCellStyle="Standard 4"/>
    <tableColumn id="8" name="Beleg vorgelegt (j/n)" dataDxfId="197" dataCellStyle="Standard 4"/>
    <tableColumn id="9" name="Dienstvertrag vorgelegt (j/n)" dataDxfId="196" dataCellStyle="Standard 4"/>
    <tableColumn id="10" name="Zeitaufzei-chnungen vorgelegt (j/n)" dataDxfId="195" dataCellStyle="Standard 4"/>
    <tableColumn id="27" name="Betrag Abrechnungs-zeitraum &quot;A&quot;_x000a_1. ZWB" dataDxfId="194" dataCellStyle="Standard 4">
      <calculatedColumnFormula>IF(SUM(Tabelle75[[#This Row],[IST-Stunden Abrechnungs-zeitraum "A" 
(1. ZWB)]:[IST-Stunden Abrechnungs-zeitraum "D" 
(Endbericht)]])&gt;$I8,"zu viele Stunden im Projekt",ROUNDUP(IF($I8=0,0,$H8/$I8*J8),2))</calculatedColumnFormula>
    </tableColumn>
    <tableColumn id="28" name="Betrag Abrechnungs-zeitraum &quot;B&quot;_x000a_2. ZWB" dataDxfId="193" dataCellStyle="Standard 4">
      <calculatedColumnFormula>IF(SUM(Tabelle75[[#This Row],[IST-Stunden Abrechnungs-zeitraum "A" 
(1. ZWB)]:[IST-Stunden Abrechnungs-zeitraum "D" 
(Endbericht)]])&gt;$I8,"zu viele Stunden im Projekt",ROUNDUP(IF($I8=0,0,$H8/$I8*K8),2))</calculatedColumnFormula>
    </tableColumn>
    <tableColumn id="29" name="Betrag Abrechnungs-zeitraum &quot;C&quot;_x000a_3. ZWB" dataDxfId="192" dataCellStyle="Standard 4">
      <calculatedColumnFormula>IF(SUM(Tabelle75[[#This Row],[IST-Stunden Abrechnungs-zeitraum "A" 
(1. ZWB)]:[IST-Stunden Abrechnungs-zeitraum "D" 
(Endbericht)]])&gt;$I8,"zu viele Stunden im Projekt",ROUNDUP(IF($I8=0,0,$H8/$I8*L8),2))</calculatedColumnFormula>
    </tableColumn>
    <tableColumn id="30" name="Betrag Abrechnungs-zeitraum &quot;D&quot;_x000a_Endbericht" dataDxfId="191" dataCellStyle="Standard 4">
      <calculatedColumnFormula>IF(SUM(Tabelle75[[#This Row],[IST-Stunden Abrechnungs-zeitraum "A" 
(1. ZWB)]:[IST-Stunden Abrechnungs-zeitraum "D" 
(Endbericht)]])&gt;$I8,"zu viele Stunden im Projekt",ROUNDUP(IF($I8=0,0,$H8/$I8*M8),2))</calculatedColumnFormula>
    </tableColumn>
    <tableColumn id="11" name="Betrag_x000a_Gesamt" dataDxfId="190" dataCellStyle="Währung 3">
      <calculatedColumnFormula>Tabelle75[[#This Row],[Betrag Abrechnungs-zeitraum "A"
1. ZWB]]+Tabelle75[[#This Row],[Betrag Abrechnungs-zeitraum "B"
2. ZWB]]+Tabelle75[[#This Row],[Betrag Abrechnungs-zeitraum "C"
3. ZWB]]+Tabelle75[[#This Row],[Betrag Abrechnungs-zeitraum "D"
Endbericht]]</calculatedColumnFormula>
    </tableColumn>
    <tableColumn id="12" name="Beleg geprüft_x000a_(j)" dataDxfId="189" dataCellStyle="Standard 4"/>
    <tableColumn id="13" name="anerkannter Betrag nach Prüfung der Endabrechnung" dataDxfId="188" dataCellStyle="Standard 4">
      <calculatedColumnFormula>IF(Eingabe!$Q$45="ja", V8-Y8+AC8,Overview!$AA$15)</calculatedColumnFormula>
    </tableColumn>
    <tableColumn id="14" name="aberkannter Betrag nach Prüfung der Endabrechnung" dataDxfId="187" dataCellStyle="Standard 4"/>
    <tableColumn id="15" name="Begründung (bei Aberkennung)" dataDxfId="186" dataCellStyle="Standard 4"/>
    <tableColumn id="16" name="Bitte um Stellung-nahme_x000a_(j wenn ja)" dataDxfId="185" dataCellStyle="Standard 4"/>
    <tableColumn id="17" name="Stellungnahme Fördernehmer/in_x000a_(Bezug auf eine Anlage bitte explizit bennenen)" dataDxfId="184" dataCellStyle="Standard 4"/>
    <tableColumn id="18" name="Betrag der Änderung der Aberkennung _x000a_(+ entspricht Zuerkennung)" dataDxfId="183" dataCellStyle="Standard 4"/>
    <tableColumn id="19" name="Kommentar ADA" dataDxfId="182" dataCellStyle="Standard 4"/>
    <tableColumn id="20" name="Lfd. Nr.2" dataDxfId="181" dataCellStyle="Standard 4">
      <calculatedColumnFormula>C8</calculatedColumnFormula>
    </tableColumn>
  </tableColumns>
  <tableStyleInfo name="TableStyleLight1" showFirstColumn="0" showLastColumn="0" showRowStripes="0" showColumnStripes="0"/>
</table>
</file>

<file path=xl/tables/table3.xml><?xml version="1.0" encoding="utf-8"?>
<table xmlns="http://schemas.openxmlformats.org/spreadsheetml/2006/main" id="5" name="Tabelle76" displayName="Tabelle76" ref="C7:V17" totalsRowShown="0" headerRowDxfId="175" headerRowBorderDxfId="174" tableBorderDxfId="173" totalsRowBorderDxfId="172">
  <autoFilter ref="C7:V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Lfd. Nr." dataDxfId="171" dataCellStyle="Standard 4">
      <calculatedColumnFormula>"b."&amp;ROW()-7</calculatedColumnFormula>
    </tableColumn>
    <tableColumn id="24" name="Beleg Nr." dataDxfId="170" dataCellStyle="Standard 4"/>
    <tableColumn id="22" name="Abrechnungs-zeitraum" dataDxfId="169" dataCellStyle="Standard 4"/>
    <tableColumn id="21" name="Maß-nahme" dataDxfId="168" dataCellStyle="Standard 4"/>
    <tableColumn id="2" name="Belegdatum" dataDxfId="167" dataCellStyle="Standard 4"/>
    <tableColumn id="3" name="Name der Reisenden oder des Reisenden, sowie Rolle im Projekt" dataDxfId="166" dataCellStyle="Standard 4"/>
    <tableColumn id="7" name="Begründung der Projektrelevanz /Anmerkungen" dataDxfId="165" dataCellStyle="Standard 4"/>
    <tableColumn id="8" name="Zielort" dataDxfId="164" dataCellStyle="Standard 4"/>
    <tableColumn id="9" name="Veranstaltungsname" dataDxfId="163" dataCellStyle="Standard 4"/>
    <tableColumn id="10" name="Beleg vorgelegt (j/n)" dataDxfId="162" dataCellStyle="Standard 4"/>
    <tableColumn id="11" name="Betrag" dataDxfId="161" dataCellStyle="Währung 3"/>
    <tableColumn id="12" name="Beleg geprüft_x000a_(j)" dataDxfId="160" dataCellStyle="Standard 4"/>
    <tableColumn id="13" name="anerkannter Betrag nach Prüfung der Endabrechnung" dataDxfId="159" dataCellStyle="Standard 4">
      <calculatedColumnFormula>IF(Eingabe!$Q$45="ja", M8-P8+T8,Overview!$AA$15)</calculatedColumnFormula>
    </tableColumn>
    <tableColumn id="14" name="aberkannter Betrag nach Prüfung der Endabrechnung" dataDxfId="158" dataCellStyle="Standard 4"/>
    <tableColumn id="15" name="Begründung (bei Aberkennung)" dataDxfId="157" dataCellStyle="Standard 4"/>
    <tableColumn id="16" name="Bitte um Stellung-nahme_x000a_(j wenn ja)" dataDxfId="156" dataCellStyle="Standard 4"/>
    <tableColumn id="17" name="Stellungnahme Fördernehmer/in_x000a_(Bezug auf eine Anlage bitte explizit bennenen)" dataDxfId="155" dataCellStyle="Standard 4"/>
    <tableColumn id="18" name="Betrag der Änderung der Aberkennung _x000a_(+ entspricht Zuerkennung)" dataDxfId="154" dataCellStyle="Standard 4"/>
    <tableColumn id="19" name="Kommentar ADA" dataDxfId="153" dataCellStyle="Standard 4"/>
    <tableColumn id="20" name="Lfd. Nr.2" dataDxfId="152" dataCellStyle="Standard 4">
      <calculatedColumnFormula>C8</calculatedColumnFormula>
    </tableColumn>
  </tableColumns>
  <tableStyleInfo name="TableStyleLight1" showFirstColumn="0" showLastColumn="0" showRowStripes="0" showColumnStripes="0"/>
</table>
</file>

<file path=xl/tables/table4.xml><?xml version="1.0" encoding="utf-8"?>
<table xmlns="http://schemas.openxmlformats.org/spreadsheetml/2006/main" id="9" name="Tabelle7610" displayName="Tabelle7610" ref="C7:V17" totalsRowShown="0" headerRowDxfId="145" headerRowBorderDxfId="144" tableBorderDxfId="143" totalsRowBorderDxfId="142">
  <autoFilter ref="C7:V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Lfd. Nr." dataDxfId="141" dataCellStyle="Standard 4">
      <calculatedColumnFormula>"c.1."&amp;ROW()-7</calculatedColumnFormula>
    </tableColumn>
    <tableColumn id="24" name="Beleg Nr." dataDxfId="140" dataCellStyle="Standard 4"/>
    <tableColumn id="22" name="Abrechnungs-zeitraum" dataDxfId="139" dataCellStyle="Standard 4"/>
    <tableColumn id="21" name="Maß-nahme" dataDxfId="138" dataCellStyle="Standard 4"/>
    <tableColumn id="2" name="Belegdatum" dataDxfId="137" dataCellStyle="Standard 4"/>
    <tableColumn id="3" name="Bezeichnung der Räumlichkeiten" dataDxfId="136" dataCellStyle="Standard 4"/>
    <tableColumn id="7" name="Begründung der Projektrelevanz /Anmerkungen" dataDxfId="135" dataCellStyle="Standard 4"/>
    <tableColumn id="8" name="Art der Kosten _x000a_(Miete, Betriebskosten, etc.)" dataDxfId="134" dataCellStyle="Standard 4"/>
    <tableColumn id="9" name="Mietvertrag beiliegend_x000a_(j/n)" dataDxfId="133" dataCellStyle="Standard 4"/>
    <tableColumn id="10" name="Beleg vorgelegt (j/n)" dataDxfId="132" dataCellStyle="Standard 4"/>
    <tableColumn id="11" name="Betrag (bei aliquotierten Beträgen als Formel)" dataDxfId="131" dataCellStyle="Währung 3"/>
    <tableColumn id="12" name="Beleg geprüft_x000a_(j)" dataDxfId="130" dataCellStyle="Standard 4"/>
    <tableColumn id="13" name="anerkannter Betrag nach Prüfung der Endabrechnung" dataDxfId="129" dataCellStyle="Standard 4">
      <calculatedColumnFormula>IF(Eingabe!$Q$45="ja", M8-P8+T8,#REF!)</calculatedColumnFormula>
    </tableColumn>
    <tableColumn id="14" name="aberkannter Betrag nach Prüfung der Endabrechnung" dataDxfId="128" dataCellStyle="Standard 4"/>
    <tableColumn id="15" name="Begründung (bei Aberkennung)" dataDxfId="127" dataCellStyle="Standard 4"/>
    <tableColumn id="16" name="Bitte um Stellung-nahme_x000a_(j wenn ja)" dataDxfId="126" dataCellStyle="Standard 4"/>
    <tableColumn id="17" name="Stellungnahme Fördernehmer/in_x000a_(Bezug auf eine Anlage bitte explizit bennenen)" dataDxfId="125" dataCellStyle="Standard 4"/>
    <tableColumn id="18" name="Betrag der Änderung der Aberkennung _x000a_(+ entspricht Zuerkennung)" dataDxfId="124" dataCellStyle="Standard 4"/>
    <tableColumn id="19" name="Kommentar ADA" dataDxfId="123" dataCellStyle="Standard 4"/>
    <tableColumn id="20" name="Lfd. Nr.2" dataDxfId="122" dataCellStyle="Standard 4">
      <calculatedColumnFormula>C8</calculatedColumnFormula>
    </tableColumn>
  </tableColumns>
  <tableStyleInfo name="TableStyleLight1" showFirstColumn="0" showLastColumn="0" showRowStripes="0" showColumnStripes="0"/>
</table>
</file>

<file path=xl/tables/table5.xml><?xml version="1.0" encoding="utf-8"?>
<table xmlns="http://schemas.openxmlformats.org/spreadsheetml/2006/main" id="6" name="Tabelle76107" displayName="Tabelle76107" ref="C7:V17" totalsRowShown="0" headerRowDxfId="115" headerRowBorderDxfId="114" tableBorderDxfId="113" totalsRowBorderDxfId="112">
  <autoFilter ref="C7:V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Lfd. Nr." dataDxfId="111" dataCellStyle="Standard 4">
      <calculatedColumnFormula>"c.2."&amp;ROW()-7</calculatedColumnFormula>
    </tableColumn>
    <tableColumn id="24" name="Beleg Nr." dataDxfId="110" dataCellStyle="Standard 4"/>
    <tableColumn id="22" name="Abrechnungs-zeitraum" dataDxfId="109" dataCellStyle="Standard 4"/>
    <tableColumn id="21" name="Maß-nahme" dataDxfId="108" dataCellStyle="Standard 4"/>
    <tableColumn id="2" name="Belegdatum" dataDxfId="107" dataCellStyle="Standard 4"/>
    <tableColumn id="3" name="Bezeichnung der Anschaffung" dataDxfId="106" dataCellStyle="Standard 4"/>
    <tableColumn id="7" name="Begründung der Projektrelevanz /Anmerkungen" dataDxfId="105" dataCellStyle="Standard 4"/>
    <tableColumn id="8" name=" " dataDxfId="104" dataCellStyle="Standard 4"/>
    <tableColumn id="9" name="Vergleichs-angebote beigelegt (j/n)" dataDxfId="103" dataCellStyle="Standard 4"/>
    <tableColumn id="10" name="Beleg vorgelegt (j/n)" dataDxfId="102" dataCellStyle="Standard 4"/>
    <tableColumn id="11" name="Betrag (bei aliquotierten Beträgen als Formel)" dataDxfId="101" dataCellStyle="Währung 3"/>
    <tableColumn id="12" name="Beleg geprüft_x000a_(j)" dataDxfId="100" dataCellStyle="Standard 4"/>
    <tableColumn id="13" name="anerkannter Betrag nach Prüfung der Endabrechnung" dataDxfId="99" dataCellStyle="Standard 4">
      <calculatedColumnFormula>IF(Eingabe!$Q$45="ja", M8-P8+T8,$AA$14)</calculatedColumnFormula>
    </tableColumn>
    <tableColumn id="14" name="aberkannter Betrag nach Prüfung der Endabrechnung" dataDxfId="98" dataCellStyle="Standard 4"/>
    <tableColumn id="15" name="Begründung (bei Aberkennung)" dataDxfId="97" dataCellStyle="Standard 4"/>
    <tableColumn id="16" name="Bitte um Stellung-nahme_x000a_(j wenn ja)" dataDxfId="96" dataCellStyle="Standard 4"/>
    <tableColumn id="17" name="Stellungnahme Fördernehmer/in_x000a_(Bezug auf eine Anlage bitte explizit bennenen)" dataDxfId="95" dataCellStyle="Standard 4"/>
    <tableColumn id="18" name="Betrag der Änderung der Aberkennung _x000a_(+ entspricht Zuerkennung)" dataDxfId="94" dataCellStyle="Standard 4"/>
    <tableColumn id="19" name="Kommentar ADA" dataDxfId="93" dataCellStyle="Standard 4"/>
    <tableColumn id="20" name="Lfd. Nr.2" dataDxfId="92" dataCellStyle="Standard 4">
      <calculatedColumnFormula>C8</calculatedColumnFormula>
    </tableColumn>
  </tableColumns>
  <tableStyleInfo name="TableStyleLight1" showFirstColumn="0" showLastColumn="0" showRowStripes="0" showColumnStripes="0"/>
</table>
</file>

<file path=xl/tables/table6.xml><?xml version="1.0" encoding="utf-8"?>
<table xmlns="http://schemas.openxmlformats.org/spreadsheetml/2006/main" id="14" name="Tabelle7610715" displayName="Tabelle7610715" ref="C7:Z17" totalsRowShown="0" headerRowDxfId="86" headerRowBorderDxfId="85" tableBorderDxfId="84" totalsRowBorderDxfId="83">
  <tableColumns count="24">
    <tableColumn id="1" name="Lfd. Nr." dataDxfId="82" dataCellStyle="Standard 4">
      <calculatedColumnFormula>"c.3."&amp;ROW()-7</calculatedColumnFormula>
    </tableColumn>
    <tableColumn id="24" name="Beleg Nr." dataDxfId="81" dataCellStyle="Standard 4"/>
    <tableColumn id="21" name="Maß-nahme" dataDxfId="80" dataCellStyle="Standard 4"/>
    <tableColumn id="2" name="Belegdatum" dataDxfId="79" dataCellStyle="Standard 4"/>
    <tableColumn id="3" name="Bezeichnung der Anschaffung" dataDxfId="78" dataCellStyle="Standard 4"/>
    <tableColumn id="7" name="Begründung der Projektrelevanz /Anmerkungen" dataDxfId="77" dataCellStyle="Standard 4"/>
    <tableColumn id="6" name="Anschaffungs-kosten" dataDxfId="76" dataCellStyle="Standard 4"/>
    <tableColumn id="8" name="Abschreibungs-dauer in Jahren" dataDxfId="75" dataCellStyle="Standard 4"/>
    <tableColumn id="9" name="Vergleichs-angebote beigelegt (j/n)" dataDxfId="74" dataCellStyle="Standard 4"/>
    <tableColumn id="10" name="Beleg vorgelegt (j/n)" dataDxfId="73" dataCellStyle="Standard 4"/>
    <tableColumn id="25" name="Betrag Abrechnungs-zeitraum &quot;A&quot;_x000a_1. ZWB" dataDxfId="72" dataCellStyle="Standard 4"/>
    <tableColumn id="23" name="Betrag Abrechnungs-zeitraum &quot;B&quot;_x000a_2. ZWB" dataDxfId="71" dataCellStyle="Standard 4"/>
    <tableColumn id="5" name="Betrag Abrechnungs-zeitraum &quot;C&quot;_x000a_3. ZWB" dataDxfId="70" dataCellStyle="Standard 4"/>
    <tableColumn id="4" name="Betrag Abrechnungs-zeitraum &quot;D&quot;_x000a_Endbericht" dataDxfId="69" dataCellStyle="Standard 4"/>
    <tableColumn id="11" name="Betrag" dataDxfId="68" dataCellStyle="Währung 3">
      <calculatedColumnFormula>SUM(Tabelle7610715[[#This Row],[Betrag Abrechnungs-zeitraum "A"
1. ZWB]:[Betrag Abrechnungs-zeitraum "D"
Endbericht]])</calculatedColumnFormula>
    </tableColumn>
    <tableColumn id="12" name="Beleg geprüft_x000a_(j)" dataDxfId="67" dataCellStyle="Standard 4"/>
    <tableColumn id="13" name="anerkannter Betrag nach Prüfung der Endabrechnung" dataDxfId="66" dataCellStyle="Standard 4">
      <calculatedColumnFormula>IF(Eingabe!$Q$45="ja", Q8-T8+X8,$AD$15)</calculatedColumnFormula>
    </tableColumn>
    <tableColumn id="14" name="aberkannter Betrag nach Prüfung der Endabrechnung" dataDxfId="65" dataCellStyle="Standard 4"/>
    <tableColumn id="15" name="Begründung (bei Aberkennung)" dataDxfId="64" dataCellStyle="Standard 4"/>
    <tableColumn id="16" name="Bitte um Stellung-nahme_x000a_(j wenn ja)" dataDxfId="63" dataCellStyle="Standard 4"/>
    <tableColumn id="17" name="Stellungnahme Fördernehmer/in_x000a_(Bezug auf eine Anlage bitte explizit bennenen)" dataDxfId="62" dataCellStyle="Standard 4"/>
    <tableColumn id="18" name="Betrag der Änderung der Aberkennung _x000a_(+ entspricht Zuerkennung)" dataDxfId="61" dataCellStyle="Standard 4"/>
    <tableColumn id="19" name="Kommentar ADA" dataDxfId="60" dataCellStyle="Standard 4"/>
    <tableColumn id="20" name="Lfd. Nr.2" dataDxfId="59" dataCellStyle="Standard 4">
      <calculatedColumnFormula>C8</calculatedColumnFormula>
    </tableColumn>
  </tableColumns>
  <tableStyleInfo name="TableStyleLight1" showFirstColumn="0" showLastColumn="0" showRowStripes="0" showColumnStripes="0"/>
</table>
</file>

<file path=xl/tables/table7.xml><?xml version="1.0" encoding="utf-8"?>
<table xmlns="http://schemas.openxmlformats.org/spreadsheetml/2006/main" id="15" name="Tabelle761071516" displayName="Tabelle761071516" ref="C7:V17" totalsRowShown="0" headerRowDxfId="52" headerRowBorderDxfId="51" tableBorderDxfId="50" totalsRowBorderDxfId="49">
  <autoFilter ref="C7:V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Lfd. Nr." dataDxfId="48" dataCellStyle="Standard 4">
      <calculatedColumnFormula>"c.4."&amp;ROW()-7</calculatedColumnFormula>
    </tableColumn>
    <tableColumn id="24" name="Beleg Nr." dataDxfId="47" dataCellStyle="Standard 4"/>
    <tableColumn id="22" name="Abrechnungs-zeitraum" dataDxfId="46" dataCellStyle="Standard 4"/>
    <tableColumn id="21" name="Maß-nahme" dataDxfId="45" dataCellStyle="Standard 4"/>
    <tableColumn id="2" name="Belegdatum" dataDxfId="44" dataCellStyle="Standard 4"/>
    <tableColumn id="3" name="Bezeichnung der vergebenen Leistung" dataDxfId="43" dataCellStyle="Standard 4"/>
    <tableColumn id="7" name="Begründung der Projektrelevanz /Anmerkungen" dataDxfId="42" dataCellStyle="Standard 4"/>
    <tableColumn id="8" name="Unternehmen/Person, an das/die die Leistung vergeben wurde" dataDxfId="41" dataCellStyle="Standard 4"/>
    <tableColumn id="9" name="Vergleichs-angebote beigelegt (j/n)" dataDxfId="40" dataCellStyle="Standard 4"/>
    <tableColumn id="10" name="Beleg vorgelegt (j/n)" dataDxfId="39" dataCellStyle="Standard 4"/>
    <tableColumn id="11" name="Betrag (bei aliquotierten Beträgen als Formel)" dataDxfId="38" dataCellStyle="Währung 3"/>
    <tableColumn id="12" name="Beleg geprüft_x000a_(j)" dataDxfId="37" dataCellStyle="Standard 4"/>
    <tableColumn id="13" name="anerkannter Betrag nach Prüfung der Endabrechnung" dataDxfId="36" dataCellStyle="Standard 4">
      <calculatedColumnFormula>IF(Eingabe!$Q$45="ja", M8-P8+T8,$AA$15)</calculatedColumnFormula>
    </tableColumn>
    <tableColumn id="14" name="aberkannter Betrag nach Prüfung der Endabrechnung" dataDxfId="35" dataCellStyle="Standard 4"/>
    <tableColumn id="15" name="Begründung (bei Aberkennung)" dataDxfId="34" dataCellStyle="Standard 4"/>
    <tableColumn id="16" name="Bitte um Stellung-nahme_x000a_(j wenn ja)" dataDxfId="33" dataCellStyle="Standard 4"/>
    <tableColumn id="17" name="Stellungnahme Fördernehmer/in_x000a_(Bezug auf eine Anlage bitte explizit bennenen)" dataDxfId="32" dataCellStyle="Standard 4"/>
    <tableColumn id="18" name="Betrag der Änderung der Aberkennung _x000a_(+ entspricht Zuerkennung)" dataDxfId="31" dataCellStyle="Standard 4"/>
    <tableColumn id="19" name="Kommentar ADA" dataDxfId="30" dataCellStyle="Standard 4"/>
    <tableColumn id="20" name="Lfd. Nr.2" dataDxfId="29" dataCellStyle="Standard 4">
      <calculatedColumnFormula>C8</calculatedColumnFormula>
    </tableColumn>
  </tableColumns>
  <tableStyleInfo name="TableStyleLight1" showFirstColumn="0" showLastColumn="0" showRowStripes="0" showColumnStripes="0"/>
</table>
</file>

<file path=xl/tables/table8.xml><?xml version="1.0" encoding="utf-8"?>
<table xmlns="http://schemas.openxmlformats.org/spreadsheetml/2006/main" id="16" name="Tabelle76107151617" displayName="Tabelle76107151617" ref="C7:V17" totalsRowShown="0" headerRowDxfId="23" headerRowBorderDxfId="22" tableBorderDxfId="21" totalsRowBorderDxfId="20">
  <autoFilter ref="C7:V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Lfd. Nr." dataDxfId="19" dataCellStyle="Standard 4">
      <calculatedColumnFormula>"d."&amp;ROW()-7</calculatedColumnFormula>
    </tableColumn>
    <tableColumn id="24" name="Beleg Nr." dataDxfId="18" dataCellStyle="Standard 4"/>
    <tableColumn id="22" name="Abrechnungs-zeitraum" dataDxfId="17" dataCellStyle="Standard 4"/>
    <tableColumn id="21" name="Maß-nahme" dataDxfId="16" dataCellStyle="Standard 4"/>
    <tableColumn id="2" name="Belegdatum" dataDxfId="15" dataCellStyle="Standard 4"/>
    <tableColumn id="3" name="Verwendungszweck" dataDxfId="14" dataCellStyle="Standard 4"/>
    <tableColumn id="7" name="Begründung der Projektrelevanz /Anmerkungen" dataDxfId="13" dataCellStyle="Standard 4"/>
    <tableColumn id="8" name=" " dataDxfId="12" dataCellStyle="Standard 4"/>
    <tableColumn id="9" name="Vergleichs-angebote beigelegt (j/n)" dataDxfId="11" dataCellStyle="Standard 4"/>
    <tableColumn id="10" name="Beleg vorgelegt (j/n)" dataDxfId="10" dataCellStyle="Standard 4"/>
    <tableColumn id="11" name="Betrag (bei aliquotierten Beträgen als Formel)" dataDxfId="9" dataCellStyle="Währung 3"/>
    <tableColumn id="12" name="Beleg geprüft_x000a_(j)" dataDxfId="8" dataCellStyle="Standard 4"/>
    <tableColumn id="13" name="anerkannter Betrag nach Prüfung der Endabrechnung" dataDxfId="7" dataCellStyle="Standard 4">
      <calculatedColumnFormula>IF(Eingabe!$Q$45="ja", M8-P8+T8,$AA$15)</calculatedColumnFormula>
    </tableColumn>
    <tableColumn id="14" name="aberkannter Betrag nach Prüfung der Endabrechnung" dataDxfId="6" dataCellStyle="Standard 4"/>
    <tableColumn id="15" name="Begründung (bei Aberkennung)" dataDxfId="5" dataCellStyle="Standard 4"/>
    <tableColumn id="16" name="Bitte um Stellung-nahme_x000a_(j wenn ja)" dataDxfId="4" dataCellStyle="Standard 4"/>
    <tableColumn id="17" name="Stellungnahme Fördernehmer/in_x000a_(Bezug auf eine Anlage bitte explizit bennenen)" dataDxfId="3" dataCellStyle="Standard 4"/>
    <tableColumn id="18" name="Betrag der Änderung der Aberkennung _x000a_(+ entspricht Zuerkennung)" dataDxfId="2" dataCellStyle="Standard 4"/>
    <tableColumn id="19" name="Kommentar ADA" dataDxfId="1" dataCellStyle="Standard 4"/>
    <tableColumn id="20" name="Lfd. Nr.2" dataDxfId="0" dataCellStyle="Standard 4">
      <calculatedColumnFormula>C8</calculatedColumnFormula>
    </tableColumn>
  </tableColumns>
  <tableStyleInfo name="TableStyleLight1" showFirstColumn="0" showLastColumn="0" showRowStripes="0"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46"/>
  <sheetViews>
    <sheetView showGridLines="0" workbookViewId="0">
      <selection activeCell="C16" sqref="C16:P16"/>
    </sheetView>
  </sheetViews>
  <sheetFormatPr baseColWidth="10" defaultColWidth="11.54296875" defaultRowHeight="14.5" x14ac:dyDescent="0.35"/>
  <cols>
    <col min="1" max="2" width="2.90625" style="110" customWidth="1"/>
    <col min="3" max="3" width="25.90625" style="110" customWidth="1"/>
    <col min="4" max="5" width="11.54296875" style="110"/>
    <col min="6" max="6" width="15.6328125" style="110" customWidth="1"/>
    <col min="7" max="7" width="11.54296875" style="110"/>
    <col min="8" max="17" width="12.90625" style="110" customWidth="1"/>
    <col min="18" max="18" width="2.90625" style="110" customWidth="1"/>
    <col min="19" max="19" width="2.6328125" style="110" customWidth="1"/>
    <col min="20" max="16384" width="11.54296875" style="110"/>
  </cols>
  <sheetData>
    <row r="1" spans="2:18" ht="15" thickBot="1" x14ac:dyDescent="0.4"/>
    <row r="2" spans="2:18" ht="15" thickBot="1" x14ac:dyDescent="0.4">
      <c r="B2" s="107"/>
      <c r="C2" s="108"/>
      <c r="D2" s="108"/>
      <c r="E2" s="108"/>
      <c r="F2" s="108"/>
      <c r="G2" s="108"/>
      <c r="H2" s="108"/>
      <c r="I2" s="108"/>
      <c r="J2" s="108"/>
      <c r="K2" s="108"/>
      <c r="L2" s="108"/>
      <c r="M2" s="108"/>
      <c r="N2" s="108"/>
      <c r="O2" s="108"/>
      <c r="P2" s="108"/>
      <c r="Q2" s="108"/>
      <c r="R2" s="109"/>
    </row>
    <row r="3" spans="2:18" ht="21.5" thickBot="1" x14ac:dyDescent="0.55000000000000004">
      <c r="B3" s="111"/>
      <c r="C3" s="419" t="s">
        <v>138</v>
      </c>
      <c r="D3" s="420"/>
      <c r="E3" s="420"/>
      <c r="F3" s="420"/>
      <c r="G3" s="420"/>
      <c r="H3" s="420"/>
      <c r="I3" s="420"/>
      <c r="J3" s="420"/>
      <c r="K3" s="420"/>
      <c r="L3" s="420"/>
      <c r="M3" s="420"/>
      <c r="N3" s="420"/>
      <c r="O3" s="420"/>
      <c r="P3" s="420"/>
      <c r="Q3" s="421"/>
      <c r="R3" s="113"/>
    </row>
    <row r="4" spans="2:18" ht="15" thickBot="1" x14ac:dyDescent="0.4">
      <c r="B4" s="111"/>
      <c r="C4" s="112"/>
      <c r="D4" s="112"/>
      <c r="E4" s="112"/>
      <c r="F4" s="112"/>
      <c r="G4" s="112"/>
      <c r="H4" s="112"/>
      <c r="I4" s="112"/>
      <c r="J4" s="112"/>
      <c r="K4" s="112"/>
      <c r="L4" s="112"/>
      <c r="M4" s="112"/>
      <c r="N4" s="112"/>
      <c r="O4" s="112"/>
      <c r="P4" s="112"/>
      <c r="Q4" s="112"/>
      <c r="R4" s="113"/>
    </row>
    <row r="5" spans="2:18" ht="15" thickBot="1" x14ac:dyDescent="0.4">
      <c r="B5" s="111"/>
      <c r="C5" s="453" t="s">
        <v>30</v>
      </c>
      <c r="D5" s="454"/>
      <c r="E5" s="454"/>
      <c r="F5" s="454"/>
      <c r="G5" s="454"/>
      <c r="H5" s="454"/>
      <c r="I5" s="454"/>
      <c r="J5" s="454"/>
      <c r="K5" s="455"/>
      <c r="L5" s="456"/>
      <c r="M5" s="112"/>
      <c r="N5" s="444" t="s">
        <v>129</v>
      </c>
      <c r="O5" s="445"/>
      <c r="P5" s="445"/>
      <c r="Q5" s="446"/>
      <c r="R5" s="113"/>
    </row>
    <row r="6" spans="2:18" x14ac:dyDescent="0.35">
      <c r="B6" s="111"/>
      <c r="C6" s="127" t="s">
        <v>78</v>
      </c>
      <c r="D6" s="457"/>
      <c r="E6" s="457"/>
      <c r="F6" s="457"/>
      <c r="G6" s="457"/>
      <c r="H6" s="457"/>
      <c r="I6" s="457"/>
      <c r="J6" s="457"/>
      <c r="K6" s="458"/>
      <c r="L6" s="459"/>
      <c r="M6" s="112"/>
      <c r="N6" s="114" t="s">
        <v>126</v>
      </c>
      <c r="O6" s="435"/>
      <c r="P6" s="436"/>
      <c r="Q6" s="437"/>
      <c r="R6" s="113"/>
    </row>
    <row r="7" spans="2:18" x14ac:dyDescent="0.35">
      <c r="B7" s="111"/>
      <c r="C7" s="128" t="s">
        <v>3</v>
      </c>
      <c r="D7" s="460"/>
      <c r="E7" s="460"/>
      <c r="F7" s="460"/>
      <c r="G7" s="460"/>
      <c r="H7" s="460"/>
      <c r="I7" s="460"/>
      <c r="J7" s="460"/>
      <c r="K7" s="461"/>
      <c r="L7" s="462"/>
      <c r="M7" s="112"/>
      <c r="N7" s="115" t="s">
        <v>127</v>
      </c>
      <c r="O7" s="438"/>
      <c r="P7" s="439"/>
      <c r="Q7" s="440"/>
      <c r="R7" s="113"/>
    </row>
    <row r="8" spans="2:18" ht="15" thickBot="1" x14ac:dyDescent="0.4">
      <c r="B8" s="111"/>
      <c r="C8" s="128" t="s">
        <v>29</v>
      </c>
      <c r="D8" s="460" t="s">
        <v>165</v>
      </c>
      <c r="E8" s="460"/>
      <c r="F8" s="460"/>
      <c r="G8" s="460"/>
      <c r="H8" s="460"/>
      <c r="I8" s="460"/>
      <c r="J8" s="460"/>
      <c r="K8" s="461"/>
      <c r="L8" s="462"/>
      <c r="M8" s="112"/>
      <c r="N8" s="116" t="s">
        <v>128</v>
      </c>
      <c r="O8" s="441"/>
      <c r="P8" s="442"/>
      <c r="Q8" s="443"/>
      <c r="R8" s="113"/>
    </row>
    <row r="9" spans="2:18" x14ac:dyDescent="0.35">
      <c r="B9" s="111"/>
      <c r="C9" s="128" t="s">
        <v>4</v>
      </c>
      <c r="D9" s="460" t="s">
        <v>209</v>
      </c>
      <c r="E9" s="460"/>
      <c r="F9" s="460"/>
      <c r="G9" s="460"/>
      <c r="H9" s="460"/>
      <c r="I9" s="460"/>
      <c r="J9" s="460"/>
      <c r="K9" s="461"/>
      <c r="L9" s="462"/>
      <c r="M9" s="112"/>
      <c r="N9" s="117" t="s">
        <v>126</v>
      </c>
      <c r="O9" s="447"/>
      <c r="P9" s="448"/>
      <c r="Q9" s="449"/>
      <c r="R9" s="113"/>
    </row>
    <row r="10" spans="2:18" x14ac:dyDescent="0.35">
      <c r="B10" s="111"/>
      <c r="C10" s="129" t="s">
        <v>86</v>
      </c>
      <c r="D10" s="422">
        <v>44562</v>
      </c>
      <c r="E10" s="423"/>
      <c r="F10" s="423"/>
      <c r="G10" s="423"/>
      <c r="H10" s="424" t="s">
        <v>84</v>
      </c>
      <c r="I10" s="425"/>
      <c r="J10" s="426">
        <f>IF(D10=0,"befüllt sich automatisch",D10)</f>
        <v>44562</v>
      </c>
      <c r="K10" s="427"/>
      <c r="L10" s="428"/>
      <c r="M10" s="112"/>
      <c r="N10" s="118" t="s">
        <v>127</v>
      </c>
      <c r="O10" s="438"/>
      <c r="P10" s="439"/>
      <c r="Q10" s="440"/>
      <c r="R10" s="113"/>
    </row>
    <row r="11" spans="2:18" ht="15" thickBot="1" x14ac:dyDescent="0.4">
      <c r="B11" s="111"/>
      <c r="C11" s="129" t="s">
        <v>87</v>
      </c>
      <c r="D11" s="463">
        <v>45291</v>
      </c>
      <c r="E11" s="464"/>
      <c r="F11" s="464"/>
      <c r="G11" s="464"/>
      <c r="H11" s="424" t="s">
        <v>85</v>
      </c>
      <c r="I11" s="425"/>
      <c r="J11" s="463">
        <v>44742</v>
      </c>
      <c r="K11" s="464"/>
      <c r="L11" s="465"/>
      <c r="M11" s="112"/>
      <c r="N11" s="119" t="s">
        <v>128</v>
      </c>
      <c r="O11" s="432"/>
      <c r="P11" s="433"/>
      <c r="Q11" s="434"/>
      <c r="R11" s="113"/>
    </row>
    <row r="12" spans="2:18" x14ac:dyDescent="0.35">
      <c r="B12" s="111"/>
      <c r="C12" s="129" t="s">
        <v>82</v>
      </c>
      <c r="D12" s="469">
        <f>IF(IF(OR(D11="",D10=""),"",(D11-D10)/30)="","befüllt sich automatisch",IF(OR(D11="",D10=""),"",(D11-D10)/30))</f>
        <v>24.3</v>
      </c>
      <c r="E12" s="470"/>
      <c r="F12" s="470"/>
      <c r="G12" s="470"/>
      <c r="H12" s="424" t="s">
        <v>83</v>
      </c>
      <c r="I12" s="425"/>
      <c r="J12" s="471">
        <f>IF(OR(D10="",J11=""),"befüllt sich automatisch",((J11-J10)/30)/D12)</f>
        <v>0.24691358024691357</v>
      </c>
      <c r="K12" s="472"/>
      <c r="L12" s="473"/>
      <c r="M12" s="112"/>
      <c r="N12" s="114" t="s">
        <v>126</v>
      </c>
      <c r="O12" s="435"/>
      <c r="P12" s="436"/>
      <c r="Q12" s="437"/>
      <c r="R12" s="113"/>
    </row>
    <row r="13" spans="2:18" x14ac:dyDescent="0.35">
      <c r="B13" s="111"/>
      <c r="C13" s="268" t="s">
        <v>188</v>
      </c>
      <c r="D13" s="320" t="s">
        <v>185</v>
      </c>
      <c r="E13" s="466"/>
      <c r="F13" s="466"/>
      <c r="G13" s="321" t="s">
        <v>186</v>
      </c>
      <c r="H13" s="468"/>
      <c r="I13" s="468"/>
      <c r="J13" s="321" t="s">
        <v>187</v>
      </c>
      <c r="K13" s="466"/>
      <c r="L13" s="467"/>
      <c r="M13" s="112"/>
      <c r="N13" s="115" t="s">
        <v>127</v>
      </c>
      <c r="O13" s="438"/>
      <c r="P13" s="439"/>
      <c r="Q13" s="440"/>
      <c r="R13" s="113"/>
    </row>
    <row r="14" spans="2:18" ht="15" thickBot="1" x14ac:dyDescent="0.4">
      <c r="B14" s="111"/>
      <c r="C14" s="474" t="s">
        <v>210</v>
      </c>
      <c r="D14" s="475"/>
      <c r="E14" s="475"/>
      <c r="F14" s="475"/>
      <c r="G14" s="475"/>
      <c r="H14" s="475"/>
      <c r="I14" s="476"/>
      <c r="J14" s="429" t="s">
        <v>97</v>
      </c>
      <c r="K14" s="430"/>
      <c r="L14" s="431"/>
      <c r="M14" s="112"/>
      <c r="N14" s="116" t="s">
        <v>128</v>
      </c>
      <c r="O14" s="441"/>
      <c r="P14" s="442"/>
      <c r="Q14" s="443"/>
      <c r="R14" s="113"/>
    </row>
    <row r="15" spans="2:18" ht="15" thickBot="1" x14ac:dyDescent="0.4">
      <c r="B15" s="111"/>
      <c r="C15" s="403"/>
      <c r="D15" s="403"/>
      <c r="E15" s="403"/>
      <c r="F15" s="403"/>
      <c r="G15" s="403"/>
      <c r="H15" s="403"/>
      <c r="I15" s="403"/>
      <c r="J15" s="404"/>
      <c r="K15" s="404"/>
      <c r="L15" s="404"/>
      <c r="M15" s="405"/>
      <c r="N15" s="405"/>
      <c r="O15" s="406"/>
      <c r="P15" s="406"/>
      <c r="Q15" s="406"/>
      <c r="R15" s="113"/>
    </row>
    <row r="16" spans="2:18" ht="20.149999999999999" customHeight="1" thickBot="1" x14ac:dyDescent="0.4">
      <c r="B16" s="111"/>
      <c r="C16" s="417" t="s">
        <v>211</v>
      </c>
      <c r="D16" s="418"/>
      <c r="E16" s="418"/>
      <c r="F16" s="418"/>
      <c r="G16" s="418"/>
      <c r="H16" s="418"/>
      <c r="I16" s="418"/>
      <c r="J16" s="418"/>
      <c r="K16" s="418"/>
      <c r="L16" s="418"/>
      <c r="M16" s="418"/>
      <c r="N16" s="418"/>
      <c r="O16" s="418"/>
      <c r="P16" s="418"/>
      <c r="Q16" s="407"/>
      <c r="R16" s="113"/>
    </row>
    <row r="17" spans="2:18" ht="15" thickBot="1" x14ac:dyDescent="0.4">
      <c r="B17" s="111"/>
      <c r="C17" s="112"/>
      <c r="D17" s="112"/>
      <c r="E17" s="112"/>
      <c r="F17" s="112"/>
      <c r="G17" s="112"/>
      <c r="H17" s="112"/>
      <c r="I17" s="112"/>
      <c r="J17" s="112"/>
      <c r="K17" s="112"/>
      <c r="L17" s="112"/>
      <c r="M17" s="112"/>
      <c r="N17" s="112"/>
      <c r="O17" s="112"/>
      <c r="P17" s="112"/>
      <c r="Q17" s="112"/>
      <c r="R17" s="113"/>
    </row>
    <row r="18" spans="2:18" x14ac:dyDescent="0.35">
      <c r="B18" s="111"/>
      <c r="C18" s="487" t="s">
        <v>150</v>
      </c>
      <c r="D18" s="488"/>
      <c r="E18" s="489"/>
      <c r="F18" s="485" t="s">
        <v>23</v>
      </c>
      <c r="G18" s="483" t="s">
        <v>22</v>
      </c>
      <c r="H18" s="130" t="s">
        <v>117</v>
      </c>
      <c r="I18" s="130" t="s">
        <v>118</v>
      </c>
      <c r="J18" s="130" t="s">
        <v>119</v>
      </c>
      <c r="K18" s="130" t="s">
        <v>120</v>
      </c>
      <c r="L18" s="130" t="s">
        <v>121</v>
      </c>
      <c r="M18" s="130" t="s">
        <v>122</v>
      </c>
      <c r="N18" s="130" t="s">
        <v>123</v>
      </c>
      <c r="O18" s="130" t="s">
        <v>116</v>
      </c>
      <c r="P18" s="130" t="s">
        <v>124</v>
      </c>
      <c r="Q18" s="131" t="s">
        <v>125</v>
      </c>
      <c r="R18" s="113"/>
    </row>
    <row r="19" spans="2:18" x14ac:dyDescent="0.35">
      <c r="B19" s="111"/>
      <c r="C19" s="490"/>
      <c r="D19" s="491"/>
      <c r="E19" s="492"/>
      <c r="F19" s="486"/>
      <c r="G19" s="484"/>
      <c r="H19" s="362" t="s">
        <v>208</v>
      </c>
      <c r="I19" s="362" t="s">
        <v>203</v>
      </c>
      <c r="J19" s="362" t="s">
        <v>203</v>
      </c>
      <c r="K19" s="362" t="s">
        <v>203</v>
      </c>
      <c r="L19" s="362" t="s">
        <v>203</v>
      </c>
      <c r="M19" s="362" t="s">
        <v>203</v>
      </c>
      <c r="N19" s="362" t="s">
        <v>203</v>
      </c>
      <c r="O19" s="362" t="s">
        <v>203</v>
      </c>
      <c r="P19" s="362" t="s">
        <v>203</v>
      </c>
      <c r="Q19" s="363" t="s">
        <v>203</v>
      </c>
      <c r="R19" s="113"/>
    </row>
    <row r="20" spans="2:18" x14ac:dyDescent="0.35">
      <c r="B20" s="111"/>
      <c r="C20" s="477" t="s">
        <v>27</v>
      </c>
      <c r="D20" s="478"/>
      <c r="E20" s="479"/>
      <c r="F20" s="105">
        <f t="shared" ref="F20:F30" si="0">SUM(H20:Q20)</f>
        <v>0</v>
      </c>
      <c r="G20" s="273">
        <f>IF($F$31=0,0,F20/$F$31)</f>
        <v>0</v>
      </c>
      <c r="H20" s="101">
        <f>SUBTOTAL(9,H21:H29)</f>
        <v>0</v>
      </c>
      <c r="I20" s="101">
        <f t="shared" ref="I20:Q20" si="1">SUBTOTAL(9,I21:I29)</f>
        <v>0</v>
      </c>
      <c r="J20" s="101">
        <f t="shared" si="1"/>
        <v>0</v>
      </c>
      <c r="K20" s="101">
        <f t="shared" si="1"/>
        <v>0</v>
      </c>
      <c r="L20" s="101">
        <f t="shared" si="1"/>
        <v>0</v>
      </c>
      <c r="M20" s="101">
        <f t="shared" si="1"/>
        <v>0</v>
      </c>
      <c r="N20" s="101">
        <f t="shared" si="1"/>
        <v>0</v>
      </c>
      <c r="O20" s="101">
        <f t="shared" si="1"/>
        <v>0</v>
      </c>
      <c r="P20" s="101">
        <f t="shared" si="1"/>
        <v>0</v>
      </c>
      <c r="Q20" s="132">
        <f t="shared" si="1"/>
        <v>0</v>
      </c>
      <c r="R20" s="113"/>
    </row>
    <row r="21" spans="2:18" x14ac:dyDescent="0.35">
      <c r="B21" s="111"/>
      <c r="C21" s="480" t="s">
        <v>6</v>
      </c>
      <c r="D21" s="481"/>
      <c r="E21" s="482"/>
      <c r="F21" s="106">
        <f t="shared" si="0"/>
        <v>0</v>
      </c>
      <c r="G21" s="274">
        <f t="shared" ref="G21:G30" si="2">IF($F$31=0,0,F21/$F$31)</f>
        <v>0</v>
      </c>
      <c r="H21" s="102">
        <f>SUBTOTAL(9,H22:H23)</f>
        <v>0</v>
      </c>
      <c r="I21" s="102">
        <f t="shared" ref="I21:Q21" si="3">SUBTOTAL(9,I22:I23)</f>
        <v>0</v>
      </c>
      <c r="J21" s="102">
        <f t="shared" si="3"/>
        <v>0</v>
      </c>
      <c r="K21" s="102">
        <f t="shared" si="3"/>
        <v>0</v>
      </c>
      <c r="L21" s="102">
        <f t="shared" si="3"/>
        <v>0</v>
      </c>
      <c r="M21" s="102">
        <f t="shared" si="3"/>
        <v>0</v>
      </c>
      <c r="N21" s="102">
        <f t="shared" si="3"/>
        <v>0</v>
      </c>
      <c r="O21" s="102">
        <f t="shared" si="3"/>
        <v>0</v>
      </c>
      <c r="P21" s="102">
        <f t="shared" si="3"/>
        <v>0</v>
      </c>
      <c r="Q21" s="133">
        <f t="shared" si="3"/>
        <v>0</v>
      </c>
      <c r="R21" s="113"/>
    </row>
    <row r="22" spans="2:18" x14ac:dyDescent="0.35">
      <c r="B22" s="111"/>
      <c r="C22" s="496" t="s">
        <v>26</v>
      </c>
      <c r="D22" s="497"/>
      <c r="E22" s="498"/>
      <c r="F22" s="106">
        <f t="shared" si="0"/>
        <v>0</v>
      </c>
      <c r="G22" s="274">
        <f t="shared" si="2"/>
        <v>0</v>
      </c>
      <c r="H22" s="103"/>
      <c r="I22" s="103"/>
      <c r="J22" s="103"/>
      <c r="K22" s="103"/>
      <c r="L22" s="103"/>
      <c r="M22" s="103"/>
      <c r="N22" s="103"/>
      <c r="O22" s="103"/>
      <c r="P22" s="103"/>
      <c r="Q22" s="134"/>
      <c r="R22" s="113"/>
    </row>
    <row r="23" spans="2:18" x14ac:dyDescent="0.35">
      <c r="B23" s="111"/>
      <c r="C23" s="496" t="s">
        <v>103</v>
      </c>
      <c r="D23" s="497"/>
      <c r="E23" s="498"/>
      <c r="F23" s="106">
        <f t="shared" si="0"/>
        <v>0</v>
      </c>
      <c r="G23" s="274">
        <f t="shared" si="2"/>
        <v>0</v>
      </c>
      <c r="H23" s="103"/>
      <c r="I23" s="103"/>
      <c r="J23" s="103"/>
      <c r="K23" s="103"/>
      <c r="L23" s="103"/>
      <c r="M23" s="103"/>
      <c r="N23" s="103"/>
      <c r="O23" s="103"/>
      <c r="P23" s="103"/>
      <c r="Q23" s="134"/>
      <c r="R23" s="113"/>
    </row>
    <row r="24" spans="2:18" x14ac:dyDescent="0.35">
      <c r="B24" s="111"/>
      <c r="C24" s="499" t="s">
        <v>15</v>
      </c>
      <c r="D24" s="500"/>
      <c r="E24" s="425"/>
      <c r="F24" s="105">
        <f t="shared" si="0"/>
        <v>0</v>
      </c>
      <c r="G24" s="273">
        <f t="shared" si="2"/>
        <v>0</v>
      </c>
      <c r="H24" s="103"/>
      <c r="I24" s="103"/>
      <c r="J24" s="103"/>
      <c r="K24" s="103"/>
      <c r="L24" s="103"/>
      <c r="M24" s="103"/>
      <c r="N24" s="103"/>
      <c r="O24" s="103"/>
      <c r="P24" s="103"/>
      <c r="Q24" s="134"/>
      <c r="R24" s="113"/>
    </row>
    <row r="25" spans="2:18" x14ac:dyDescent="0.35">
      <c r="B25" s="111"/>
      <c r="C25" s="480" t="s">
        <v>16</v>
      </c>
      <c r="D25" s="481"/>
      <c r="E25" s="482"/>
      <c r="F25" s="106">
        <f t="shared" si="0"/>
        <v>0</v>
      </c>
      <c r="G25" s="274">
        <f t="shared" si="2"/>
        <v>0</v>
      </c>
      <c r="H25" s="102">
        <f>SUBTOTAL(9,H26:H29)</f>
        <v>0</v>
      </c>
      <c r="I25" s="102">
        <f t="shared" ref="I25:Q25" si="4">SUBTOTAL(9,I26:I29)</f>
        <v>0</v>
      </c>
      <c r="J25" s="102">
        <f t="shared" si="4"/>
        <v>0</v>
      </c>
      <c r="K25" s="102">
        <f t="shared" si="4"/>
        <v>0</v>
      </c>
      <c r="L25" s="102">
        <f t="shared" si="4"/>
        <v>0</v>
      </c>
      <c r="M25" s="102">
        <f t="shared" si="4"/>
        <v>0</v>
      </c>
      <c r="N25" s="102">
        <f t="shared" si="4"/>
        <v>0</v>
      </c>
      <c r="O25" s="102">
        <f t="shared" si="4"/>
        <v>0</v>
      </c>
      <c r="P25" s="102">
        <f t="shared" si="4"/>
        <v>0</v>
      </c>
      <c r="Q25" s="133">
        <f t="shared" si="4"/>
        <v>0</v>
      </c>
      <c r="R25" s="113"/>
    </row>
    <row r="26" spans="2:18" x14ac:dyDescent="0.35">
      <c r="B26" s="111"/>
      <c r="C26" s="265" t="s">
        <v>25</v>
      </c>
      <c r="D26" s="266"/>
      <c r="E26" s="267"/>
      <c r="F26" s="106">
        <f t="shared" si="0"/>
        <v>0</v>
      </c>
      <c r="G26" s="274">
        <f t="shared" si="2"/>
        <v>0</v>
      </c>
      <c r="H26" s="103"/>
      <c r="I26" s="103"/>
      <c r="J26" s="103"/>
      <c r="K26" s="103"/>
      <c r="L26" s="103"/>
      <c r="M26" s="103"/>
      <c r="N26" s="103"/>
      <c r="O26" s="103"/>
      <c r="P26" s="103"/>
      <c r="Q26" s="134"/>
      <c r="R26" s="113"/>
    </row>
    <row r="27" spans="2:18" x14ac:dyDescent="0.35">
      <c r="B27" s="111"/>
      <c r="C27" s="135" t="s">
        <v>106</v>
      </c>
      <c r="D27" s="266"/>
      <c r="E27" s="267"/>
      <c r="F27" s="106">
        <f t="shared" si="0"/>
        <v>0</v>
      </c>
      <c r="G27" s="274">
        <f t="shared" si="2"/>
        <v>0</v>
      </c>
      <c r="H27" s="103"/>
      <c r="I27" s="103"/>
      <c r="J27" s="103"/>
      <c r="K27" s="103"/>
      <c r="L27" s="103"/>
      <c r="M27" s="103"/>
      <c r="N27" s="103"/>
      <c r="O27" s="103"/>
      <c r="P27" s="103"/>
      <c r="Q27" s="134"/>
      <c r="R27" s="113"/>
    </row>
    <row r="28" spans="2:18" x14ac:dyDescent="0.35">
      <c r="B28" s="111"/>
      <c r="C28" s="265" t="s">
        <v>108</v>
      </c>
      <c r="D28" s="266"/>
      <c r="E28" s="267"/>
      <c r="F28" s="106">
        <f t="shared" si="0"/>
        <v>0</v>
      </c>
      <c r="G28" s="274">
        <f t="shared" si="2"/>
        <v>0</v>
      </c>
      <c r="H28" s="103"/>
      <c r="I28" s="103"/>
      <c r="J28" s="103"/>
      <c r="K28" s="103"/>
      <c r="L28" s="103"/>
      <c r="M28" s="103"/>
      <c r="N28" s="103"/>
      <c r="O28" s="103"/>
      <c r="P28" s="103"/>
      <c r="Q28" s="134"/>
      <c r="R28" s="113"/>
    </row>
    <row r="29" spans="2:18" x14ac:dyDescent="0.35">
      <c r="B29" s="111"/>
      <c r="C29" s="496" t="s">
        <v>107</v>
      </c>
      <c r="D29" s="497"/>
      <c r="E29" s="498"/>
      <c r="F29" s="106">
        <f t="shared" si="0"/>
        <v>0</v>
      </c>
      <c r="G29" s="274">
        <f t="shared" si="2"/>
        <v>0</v>
      </c>
      <c r="H29" s="103"/>
      <c r="I29" s="103"/>
      <c r="J29" s="103"/>
      <c r="K29" s="103"/>
      <c r="L29" s="103"/>
      <c r="M29" s="103"/>
      <c r="N29" s="103"/>
      <c r="O29" s="103"/>
      <c r="P29" s="103"/>
      <c r="Q29" s="134"/>
      <c r="R29" s="113"/>
    </row>
    <row r="30" spans="2:18" x14ac:dyDescent="0.35">
      <c r="B30" s="111"/>
      <c r="C30" s="264" t="s">
        <v>49</v>
      </c>
      <c r="D30" s="123"/>
      <c r="E30" s="408">
        <f>IF(F21=0,0,IF(OR(Eingabe!$Q$43="b",Eingabe!$Q$43="c",Eingabe!$Q$43="e"),F30/F21,IF(OR(Eingabe!$Q$43="a",Eingabe!$Q$43="d"),F30/F20,"Fehler")))</f>
        <v>0</v>
      </c>
      <c r="F30" s="105">
        <f t="shared" si="0"/>
        <v>0</v>
      </c>
      <c r="G30" s="273">
        <f t="shared" si="2"/>
        <v>0</v>
      </c>
      <c r="H30" s="103"/>
      <c r="I30" s="103"/>
      <c r="J30" s="103"/>
      <c r="K30" s="103"/>
      <c r="L30" s="103"/>
      <c r="M30" s="103"/>
      <c r="N30" s="103"/>
      <c r="O30" s="103"/>
      <c r="P30" s="103"/>
      <c r="Q30" s="134"/>
      <c r="R30" s="113"/>
    </row>
    <row r="31" spans="2:18" ht="16" thickBot="1" x14ac:dyDescent="0.4">
      <c r="B31" s="111"/>
      <c r="C31" s="501" t="s">
        <v>24</v>
      </c>
      <c r="D31" s="502"/>
      <c r="E31" s="503"/>
      <c r="F31" s="136">
        <f>SUM(F20+F30)</f>
        <v>0</v>
      </c>
      <c r="G31" s="137">
        <v>1</v>
      </c>
      <c r="H31" s="138">
        <f>H20+H30</f>
        <v>0</v>
      </c>
      <c r="I31" s="138">
        <f t="shared" ref="I31:Q31" si="5">I20+I30</f>
        <v>0</v>
      </c>
      <c r="J31" s="138">
        <f t="shared" si="5"/>
        <v>0</v>
      </c>
      <c r="K31" s="138">
        <f t="shared" si="5"/>
        <v>0</v>
      </c>
      <c r="L31" s="138">
        <f t="shared" si="5"/>
        <v>0</v>
      </c>
      <c r="M31" s="138">
        <f t="shared" si="5"/>
        <v>0</v>
      </c>
      <c r="N31" s="138">
        <f t="shared" si="5"/>
        <v>0</v>
      </c>
      <c r="O31" s="138">
        <f t="shared" si="5"/>
        <v>0</v>
      </c>
      <c r="P31" s="138">
        <f t="shared" si="5"/>
        <v>0</v>
      </c>
      <c r="Q31" s="139">
        <f t="shared" si="5"/>
        <v>0</v>
      </c>
      <c r="R31" s="113"/>
    </row>
    <row r="32" spans="2:18" ht="15" thickBot="1" x14ac:dyDescent="0.4">
      <c r="B32" s="111"/>
      <c r="C32" s="140"/>
      <c r="D32" s="270"/>
      <c r="E32" s="270"/>
      <c r="F32" s="270"/>
      <c r="G32" s="141"/>
      <c r="H32" s="112"/>
      <c r="I32" s="112"/>
      <c r="J32" s="112"/>
      <c r="K32" s="112"/>
      <c r="L32" s="112"/>
      <c r="M32" s="112"/>
      <c r="N32" s="112"/>
      <c r="O32" s="112"/>
      <c r="P32" s="112"/>
      <c r="Q32" s="112"/>
      <c r="R32" s="113"/>
    </row>
    <row r="33" spans="2:18" ht="29" x14ac:dyDescent="0.35">
      <c r="B33" s="111"/>
      <c r="C33" s="453" t="s">
        <v>5</v>
      </c>
      <c r="D33" s="454"/>
      <c r="E33" s="504"/>
      <c r="F33" s="142" t="s">
        <v>23</v>
      </c>
      <c r="G33" s="143" t="s">
        <v>22</v>
      </c>
      <c r="H33" s="112"/>
      <c r="I33" s="508" t="s">
        <v>132</v>
      </c>
      <c r="J33" s="509"/>
      <c r="K33" s="509"/>
      <c r="L33" s="509"/>
      <c r="M33" s="509"/>
      <c r="N33" s="509"/>
      <c r="O33" s="509"/>
      <c r="P33" s="509"/>
      <c r="Q33" s="510"/>
      <c r="R33" s="113"/>
    </row>
    <row r="34" spans="2:18" ht="14.4" customHeight="1" x14ac:dyDescent="0.35">
      <c r="B34" s="111"/>
      <c r="C34" s="505" t="s">
        <v>65</v>
      </c>
      <c r="D34" s="506"/>
      <c r="E34" s="507"/>
      <c r="F34" s="75"/>
      <c r="G34" s="144">
        <f>IF($F$38=0,0,F34/$F$38)</f>
        <v>0</v>
      </c>
      <c r="H34" s="112"/>
      <c r="I34" s="499" t="s">
        <v>73</v>
      </c>
      <c r="J34" s="425"/>
      <c r="K34" s="515"/>
      <c r="L34" s="515"/>
      <c r="M34" s="515"/>
      <c r="N34" s="515"/>
      <c r="O34" s="515"/>
      <c r="P34" s="515"/>
      <c r="Q34" s="516"/>
      <c r="R34" s="113"/>
    </row>
    <row r="35" spans="2:18" ht="29.15" customHeight="1" x14ac:dyDescent="0.35">
      <c r="B35" s="111"/>
      <c r="C35" s="505" t="s">
        <v>98</v>
      </c>
      <c r="D35" s="506"/>
      <c r="E35" s="507"/>
      <c r="F35" s="75"/>
      <c r="G35" s="144">
        <f t="shared" ref="G35:G38" si="6">IF($F$38=0,0,F35/$F$38)</f>
        <v>0</v>
      </c>
      <c r="H35" s="112"/>
      <c r="I35" s="499" t="s">
        <v>75</v>
      </c>
      <c r="J35" s="425"/>
      <c r="K35" s="515"/>
      <c r="L35" s="515"/>
      <c r="M35" s="515"/>
      <c r="N35" s="515"/>
      <c r="O35" s="515"/>
      <c r="P35" s="515"/>
      <c r="Q35" s="516"/>
      <c r="R35" s="113"/>
    </row>
    <row r="36" spans="2:18" ht="14.4" customHeight="1" x14ac:dyDescent="0.35">
      <c r="B36" s="111"/>
      <c r="C36" s="505" t="s">
        <v>21</v>
      </c>
      <c r="D36" s="506"/>
      <c r="E36" s="507"/>
      <c r="F36" s="75"/>
      <c r="G36" s="144">
        <f t="shared" si="6"/>
        <v>0</v>
      </c>
      <c r="H36" s="112"/>
      <c r="I36" s="499" t="s">
        <v>74</v>
      </c>
      <c r="J36" s="425"/>
      <c r="K36" s="513"/>
      <c r="L36" s="513"/>
      <c r="M36" s="513"/>
      <c r="N36" s="513"/>
      <c r="O36" s="513"/>
      <c r="P36" s="513"/>
      <c r="Q36" s="514"/>
      <c r="R36" s="113"/>
    </row>
    <row r="37" spans="2:18" ht="14.4" customHeight="1" x14ac:dyDescent="0.35">
      <c r="B37" s="111"/>
      <c r="C37" s="505" t="s">
        <v>149</v>
      </c>
      <c r="D37" s="506"/>
      <c r="E37" s="507"/>
      <c r="F37" s="75"/>
      <c r="G37" s="144">
        <f t="shared" si="6"/>
        <v>0</v>
      </c>
      <c r="H37" s="112"/>
      <c r="I37" s="499" t="s">
        <v>130</v>
      </c>
      <c r="J37" s="425"/>
      <c r="K37" s="513"/>
      <c r="L37" s="513"/>
      <c r="M37" s="513"/>
      <c r="N37" s="513"/>
      <c r="O37" s="513"/>
      <c r="P37" s="513"/>
      <c r="Q37" s="514"/>
      <c r="R37" s="113"/>
    </row>
    <row r="38" spans="2:18" ht="15.65" customHeight="1" thickBot="1" x14ac:dyDescent="0.4">
      <c r="B38" s="111"/>
      <c r="C38" s="493" t="s">
        <v>20</v>
      </c>
      <c r="D38" s="494"/>
      <c r="E38" s="495"/>
      <c r="F38" s="136">
        <f>SUM(F34:F37)</f>
        <v>0</v>
      </c>
      <c r="G38" s="152">
        <f t="shared" si="6"/>
        <v>0</v>
      </c>
      <c r="H38" s="112"/>
      <c r="I38" s="474" t="s">
        <v>131</v>
      </c>
      <c r="J38" s="476"/>
      <c r="K38" s="511"/>
      <c r="L38" s="511"/>
      <c r="M38" s="511"/>
      <c r="N38" s="511"/>
      <c r="O38" s="511"/>
      <c r="P38" s="511"/>
      <c r="Q38" s="512"/>
      <c r="R38" s="113"/>
    </row>
    <row r="39" spans="2:18" ht="15" thickBot="1" x14ac:dyDescent="0.4">
      <c r="B39" s="124"/>
      <c r="C39" s="125"/>
      <c r="D39" s="125"/>
      <c r="E39" s="125"/>
      <c r="F39" s="125"/>
      <c r="G39" s="125"/>
      <c r="H39" s="125"/>
      <c r="I39" s="125"/>
      <c r="J39" s="125"/>
      <c r="K39" s="125"/>
      <c r="L39" s="125"/>
      <c r="M39" s="125"/>
      <c r="N39" s="125"/>
      <c r="O39" s="125"/>
      <c r="P39" s="125"/>
      <c r="Q39" s="125"/>
      <c r="R39" s="126"/>
    </row>
    <row r="40" spans="2:18" ht="15" thickBot="1" x14ac:dyDescent="0.4"/>
    <row r="41" spans="2:18" ht="15" thickBot="1" x14ac:dyDescent="0.4">
      <c r="B41" s="336"/>
      <c r="C41" s="337"/>
      <c r="D41" s="337"/>
      <c r="E41" s="337"/>
      <c r="F41" s="337"/>
      <c r="G41" s="337"/>
      <c r="H41" s="337"/>
      <c r="I41" s="337"/>
      <c r="J41" s="337"/>
      <c r="K41" s="337"/>
      <c r="L41" s="337"/>
      <c r="M41" s="337"/>
      <c r="N41" s="337"/>
      <c r="O41" s="337"/>
      <c r="P41" s="337"/>
      <c r="Q41" s="337"/>
      <c r="R41" s="338"/>
    </row>
    <row r="42" spans="2:18" x14ac:dyDescent="0.35">
      <c r="B42" s="339"/>
      <c r="C42" s="450" t="s">
        <v>202</v>
      </c>
      <c r="D42" s="451"/>
      <c r="E42" s="451"/>
      <c r="F42" s="451"/>
      <c r="G42" s="451"/>
      <c r="H42" s="451"/>
      <c r="I42" s="451"/>
      <c r="J42" s="451"/>
      <c r="K42" s="451"/>
      <c r="L42" s="451"/>
      <c r="M42" s="451"/>
      <c r="N42" s="451"/>
      <c r="O42" s="451"/>
      <c r="P42" s="451"/>
      <c r="Q42" s="452"/>
      <c r="R42" s="343"/>
    </row>
    <row r="43" spans="2:18" x14ac:dyDescent="0.35">
      <c r="B43" s="339"/>
      <c r="C43" s="344" t="s">
        <v>134</v>
      </c>
      <c r="D43" s="522"/>
      <c r="E43" s="522"/>
      <c r="F43" s="522"/>
      <c r="G43" s="522"/>
      <c r="H43" s="522"/>
      <c r="I43" s="522"/>
      <c r="J43" s="522"/>
      <c r="K43" s="522"/>
      <c r="L43" s="522"/>
      <c r="M43" s="522"/>
      <c r="N43" s="519" t="s">
        <v>182</v>
      </c>
      <c r="O43" s="519"/>
      <c r="P43" s="520"/>
      <c r="Q43" s="360" t="s">
        <v>167</v>
      </c>
      <c r="R43" s="343"/>
    </row>
    <row r="44" spans="2:18" x14ac:dyDescent="0.35">
      <c r="B44" s="339"/>
      <c r="C44" s="344" t="s">
        <v>135</v>
      </c>
      <c r="D44" s="522"/>
      <c r="E44" s="522"/>
      <c r="F44" s="522"/>
      <c r="G44" s="522"/>
      <c r="H44" s="522"/>
      <c r="I44" s="522"/>
      <c r="J44" s="522"/>
      <c r="K44" s="522"/>
      <c r="L44" s="522"/>
      <c r="M44" s="522"/>
      <c r="N44" s="519" t="s">
        <v>181</v>
      </c>
      <c r="O44" s="519"/>
      <c r="P44" s="520"/>
      <c r="Q44" s="360">
        <v>0</v>
      </c>
      <c r="R44" s="343"/>
    </row>
    <row r="45" spans="2:18" ht="15" thickBot="1" x14ac:dyDescent="0.4">
      <c r="B45" s="339"/>
      <c r="C45" s="345" t="s">
        <v>136</v>
      </c>
      <c r="D45" s="521"/>
      <c r="E45" s="521"/>
      <c r="F45" s="521"/>
      <c r="G45" s="521"/>
      <c r="H45" s="521"/>
      <c r="I45" s="521"/>
      <c r="J45" s="521"/>
      <c r="K45" s="521"/>
      <c r="L45" s="521"/>
      <c r="M45" s="521"/>
      <c r="N45" s="517" t="s">
        <v>183</v>
      </c>
      <c r="O45" s="517"/>
      <c r="P45" s="518"/>
      <c r="Q45" s="361" t="s">
        <v>205</v>
      </c>
      <c r="R45" s="343"/>
    </row>
    <row r="46" spans="2:18" ht="15" thickBot="1" x14ac:dyDescent="0.4">
      <c r="B46" s="340"/>
      <c r="C46" s="341"/>
      <c r="D46" s="341"/>
      <c r="E46" s="341"/>
      <c r="F46" s="341"/>
      <c r="G46" s="341"/>
      <c r="H46" s="341"/>
      <c r="I46" s="341"/>
      <c r="J46" s="341"/>
      <c r="K46" s="341"/>
      <c r="L46" s="341"/>
      <c r="M46" s="341"/>
      <c r="N46" s="341"/>
      <c r="O46" s="341"/>
      <c r="P46" s="341"/>
      <c r="Q46" s="341"/>
      <c r="R46" s="342"/>
    </row>
  </sheetData>
  <sheetProtection password="FFFD" sheet="1" objects="1" scenarios="1"/>
  <protectedRanges>
    <protectedRange password="CDD2" sqref="Q43:Q45 D43:M45" name="Bereich1"/>
  </protectedRanges>
  <mergeCells count="66">
    <mergeCell ref="N45:P45"/>
    <mergeCell ref="N44:P44"/>
    <mergeCell ref="N43:P43"/>
    <mergeCell ref="D45:M45"/>
    <mergeCell ref="D44:M44"/>
    <mergeCell ref="D43:M43"/>
    <mergeCell ref="I38:J38"/>
    <mergeCell ref="I33:Q33"/>
    <mergeCell ref="K38:Q38"/>
    <mergeCell ref="K37:Q37"/>
    <mergeCell ref="K36:Q36"/>
    <mergeCell ref="K35:Q35"/>
    <mergeCell ref="K34:Q34"/>
    <mergeCell ref="I34:J34"/>
    <mergeCell ref="I35:J35"/>
    <mergeCell ref="I36:J36"/>
    <mergeCell ref="I37:J37"/>
    <mergeCell ref="C38:E38"/>
    <mergeCell ref="C22:E22"/>
    <mergeCell ref="C23:E23"/>
    <mergeCell ref="C24:E24"/>
    <mergeCell ref="C25:E25"/>
    <mergeCell ref="C29:E29"/>
    <mergeCell ref="C31:E31"/>
    <mergeCell ref="C33:E33"/>
    <mergeCell ref="C34:E34"/>
    <mergeCell ref="C35:E35"/>
    <mergeCell ref="C36:E36"/>
    <mergeCell ref="C37:E37"/>
    <mergeCell ref="C20:E20"/>
    <mergeCell ref="C21:E21"/>
    <mergeCell ref="G18:G19"/>
    <mergeCell ref="F18:F19"/>
    <mergeCell ref="C18:E19"/>
    <mergeCell ref="C42:Q42"/>
    <mergeCell ref="C5:L5"/>
    <mergeCell ref="D6:L6"/>
    <mergeCell ref="D7:L7"/>
    <mergeCell ref="D8:L8"/>
    <mergeCell ref="D9:L9"/>
    <mergeCell ref="D11:G11"/>
    <mergeCell ref="H11:I11"/>
    <mergeCell ref="J11:L11"/>
    <mergeCell ref="K13:L13"/>
    <mergeCell ref="H13:I13"/>
    <mergeCell ref="E13:F13"/>
    <mergeCell ref="D12:G12"/>
    <mergeCell ref="H12:I12"/>
    <mergeCell ref="J12:L12"/>
    <mergeCell ref="C14:I14"/>
    <mergeCell ref="C16:P16"/>
    <mergeCell ref="C3:Q3"/>
    <mergeCell ref="D10:G10"/>
    <mergeCell ref="H10:I10"/>
    <mergeCell ref="J10:L10"/>
    <mergeCell ref="J14:L14"/>
    <mergeCell ref="O11:Q11"/>
    <mergeCell ref="O12:Q12"/>
    <mergeCell ref="O13:Q13"/>
    <mergeCell ref="O14:Q14"/>
    <mergeCell ref="N5:Q5"/>
    <mergeCell ref="O6:Q6"/>
    <mergeCell ref="O7:Q7"/>
    <mergeCell ref="O8:Q8"/>
    <mergeCell ref="O9:Q9"/>
    <mergeCell ref="O10:Q10"/>
  </mergeCells>
  <conditionalFormatting sqref="F38">
    <cfRule type="cellIs" dxfId="267" priority="4" stopIfTrue="1" operator="equal">
      <formula>$F$31</formula>
    </cfRule>
  </conditionalFormatting>
  <conditionalFormatting sqref="F31">
    <cfRule type="cellIs" dxfId="266" priority="3" stopIfTrue="1" operator="equal">
      <formula>$F$38</formula>
    </cfRule>
  </conditionalFormatting>
  <conditionalFormatting sqref="J14:L14">
    <cfRule type="expression" dxfId="265" priority="2">
      <formula>AND(NOT($J$14="ja"),NOT($J$14="nein"))</formula>
    </cfRule>
  </conditionalFormatting>
  <conditionalFormatting sqref="B2:R15 R16 B16 B17:R39">
    <cfRule type="expression" dxfId="264" priority="1">
      <formula>NOT($Q$16="gelesen")</formula>
    </cfRule>
  </conditionalFormatting>
  <pageMargins left="0.25" right="0.25" top="0.75" bottom="0.75" header="0.3" footer="0.3"/>
  <pageSetup paperSize="9" scale="68" orientation="landscape" r:id="rId1"/>
  <ignoredErrors>
    <ignoredError sqref="H25:Q25 H21:Q21"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2:X32"/>
  <sheetViews>
    <sheetView showGridLines="0" zoomScaleNormal="100" workbookViewId="0">
      <selection activeCell="D8" sqref="D8"/>
    </sheetView>
  </sheetViews>
  <sheetFormatPr baseColWidth="10" defaultColWidth="11.453125" defaultRowHeight="13" x14ac:dyDescent="0.35"/>
  <cols>
    <col min="1" max="2" width="2.54296875" style="44" customWidth="1"/>
    <col min="3" max="3" width="8.453125" style="44" customWidth="1"/>
    <col min="4" max="4" width="10.54296875" style="44" customWidth="1"/>
    <col min="5" max="5" width="11.08984375" style="44" customWidth="1"/>
    <col min="6" max="6" width="8.453125" style="44" customWidth="1"/>
    <col min="7" max="7" width="15.90625" style="44" customWidth="1"/>
    <col min="8" max="8" width="37.453125" style="44" customWidth="1"/>
    <col min="9" max="9" width="60.90625" style="44" customWidth="1"/>
    <col min="10" max="10" width="20.90625" style="44" customWidth="1"/>
    <col min="11" max="16" width="14.6328125" style="44" customWidth="1"/>
    <col min="17" max="17" width="45.54296875" style="44" customWidth="1"/>
    <col min="18" max="18" width="10.54296875" style="44" customWidth="1"/>
    <col min="19" max="19" width="45.54296875" style="44" customWidth="1"/>
    <col min="20" max="20" width="20.54296875" style="44" customWidth="1"/>
    <col min="21" max="21" width="45.54296875" style="44" customWidth="1"/>
    <col min="22" max="22" width="9.453125" style="44" customWidth="1"/>
    <col min="23" max="23" width="2.54296875" style="44" customWidth="1"/>
    <col min="24" max="16384" width="11.453125" style="44"/>
  </cols>
  <sheetData>
    <row r="2" spans="2:23" ht="18.75" customHeight="1" x14ac:dyDescent="0.35">
      <c r="B2" s="40"/>
      <c r="C2" s="41"/>
      <c r="D2" s="41"/>
      <c r="E2" s="41"/>
      <c r="F2" s="41"/>
      <c r="G2" s="41"/>
      <c r="H2" s="41"/>
      <c r="I2" s="41"/>
      <c r="J2" s="41"/>
      <c r="K2" s="41"/>
      <c r="L2" s="41"/>
      <c r="M2" s="41"/>
      <c r="N2" s="41"/>
      <c r="O2" s="42"/>
      <c r="P2" s="42"/>
      <c r="Q2" s="42"/>
      <c r="R2" s="42"/>
      <c r="S2" s="42"/>
      <c r="T2" s="42"/>
      <c r="U2" s="42"/>
      <c r="V2" s="42"/>
      <c r="W2" s="43"/>
    </row>
    <row r="3" spans="2:23" ht="22.5" customHeight="1" x14ac:dyDescent="0.35">
      <c r="B3" s="45"/>
      <c r="C3" s="583" t="s">
        <v>16</v>
      </c>
      <c r="D3" s="583"/>
      <c r="E3" s="583"/>
      <c r="F3" s="583"/>
      <c r="G3" s="583"/>
      <c r="H3" s="583"/>
      <c r="I3" s="167"/>
      <c r="J3" s="46"/>
      <c r="K3" s="46"/>
      <c r="L3" s="46"/>
      <c r="M3" s="46"/>
      <c r="N3" s="583"/>
      <c r="O3" s="583"/>
      <c r="P3" s="583"/>
      <c r="Q3" s="583"/>
      <c r="R3" s="591"/>
      <c r="S3" s="591"/>
      <c r="T3" s="592"/>
      <c r="U3" s="592"/>
      <c r="V3" s="166"/>
      <c r="W3" s="48"/>
    </row>
    <row r="4" spans="2:23" ht="21.5" thickBot="1" x14ac:dyDescent="0.4">
      <c r="B4" s="45"/>
      <c r="C4" s="166"/>
      <c r="D4" s="166"/>
      <c r="E4" s="166"/>
      <c r="F4" s="166"/>
      <c r="G4" s="166"/>
      <c r="H4" s="166"/>
      <c r="I4" s="166"/>
      <c r="J4" s="166"/>
      <c r="K4" s="166"/>
      <c r="L4" s="166"/>
      <c r="M4" s="166"/>
      <c r="N4" s="166"/>
      <c r="O4" s="49"/>
      <c r="P4" s="49"/>
      <c r="Q4" s="49"/>
      <c r="R4" s="49"/>
      <c r="S4" s="49"/>
      <c r="T4" s="49"/>
      <c r="U4" s="166"/>
      <c r="V4" s="166"/>
      <c r="W4" s="48"/>
    </row>
    <row r="5" spans="2:23" ht="15.75" customHeight="1" x14ac:dyDescent="0.35">
      <c r="B5" s="45"/>
      <c r="C5" s="586" t="s">
        <v>107</v>
      </c>
      <c r="D5" s="587"/>
      <c r="E5" s="587"/>
      <c r="F5" s="587"/>
      <c r="G5" s="587"/>
      <c r="H5" s="587"/>
      <c r="I5" s="587"/>
      <c r="J5" s="587"/>
      <c r="K5" s="587"/>
      <c r="L5" s="587"/>
      <c r="M5" s="588"/>
      <c r="N5" s="584" t="str">
        <f>C5 &amp; " - Prüfung"</f>
        <v>c.4) Unteraufträge - Prüfung</v>
      </c>
      <c r="O5" s="584"/>
      <c r="P5" s="584"/>
      <c r="Q5" s="584"/>
      <c r="R5" s="584"/>
      <c r="S5" s="584"/>
      <c r="T5" s="584"/>
      <c r="U5" s="584"/>
      <c r="V5" s="585"/>
      <c r="W5" s="48"/>
    </row>
    <row r="6" spans="2:23" ht="15.75" customHeight="1" thickBot="1" x14ac:dyDescent="0.4">
      <c r="B6" s="45"/>
      <c r="C6" s="276"/>
      <c r="D6" s="605" t="s">
        <v>104</v>
      </c>
      <c r="E6" s="597"/>
      <c r="F6" s="597"/>
      <c r="G6" s="597"/>
      <c r="H6" s="597"/>
      <c r="I6" s="597"/>
      <c r="J6" s="606"/>
      <c r="K6" s="613" t="s">
        <v>148</v>
      </c>
      <c r="L6" s="596"/>
      <c r="M6" s="80"/>
      <c r="N6" s="589" t="s">
        <v>91</v>
      </c>
      <c r="O6" s="589"/>
      <c r="P6" s="589"/>
      <c r="Q6" s="589"/>
      <c r="R6" s="590"/>
      <c r="S6" s="60" t="s">
        <v>90</v>
      </c>
      <c r="T6" s="593" t="s">
        <v>91</v>
      </c>
      <c r="U6" s="594"/>
      <c r="V6" s="66"/>
      <c r="W6" s="48"/>
    </row>
    <row r="7" spans="2:23" ht="60" customHeight="1" x14ac:dyDescent="0.35">
      <c r="B7" s="45"/>
      <c r="C7" s="72" t="s">
        <v>9</v>
      </c>
      <c r="D7" s="100" t="s">
        <v>77</v>
      </c>
      <c r="E7" s="100" t="s">
        <v>114</v>
      </c>
      <c r="F7" s="100" t="s">
        <v>115</v>
      </c>
      <c r="G7" s="73" t="s">
        <v>7</v>
      </c>
      <c r="H7" s="73" t="s">
        <v>160</v>
      </c>
      <c r="I7" s="73" t="s">
        <v>92</v>
      </c>
      <c r="J7" s="73" t="s">
        <v>161</v>
      </c>
      <c r="K7" s="79" t="s">
        <v>62</v>
      </c>
      <c r="L7" s="79" t="s">
        <v>52</v>
      </c>
      <c r="M7" s="324" t="s">
        <v>53</v>
      </c>
      <c r="N7" s="296" t="s">
        <v>59</v>
      </c>
      <c r="O7" s="279" t="s">
        <v>151</v>
      </c>
      <c r="P7" s="280" t="s">
        <v>152</v>
      </c>
      <c r="Q7" s="281" t="s">
        <v>40</v>
      </c>
      <c r="R7" s="282" t="s">
        <v>57</v>
      </c>
      <c r="S7" s="283" t="s">
        <v>89</v>
      </c>
      <c r="T7" s="280" t="s">
        <v>54</v>
      </c>
      <c r="U7" s="281" t="s">
        <v>48</v>
      </c>
      <c r="V7" s="59" t="s">
        <v>95</v>
      </c>
      <c r="W7" s="48"/>
    </row>
    <row r="8" spans="2:23" ht="14.5" x14ac:dyDescent="0.35">
      <c r="B8" s="45"/>
      <c r="C8" s="92" t="str">
        <f>"c.4."&amp;ROW()-7</f>
        <v>c.4.1</v>
      </c>
      <c r="D8" s="93"/>
      <c r="E8" s="93"/>
      <c r="F8" s="93"/>
      <c r="G8" s="410"/>
      <c r="H8" s="76"/>
      <c r="I8" s="76"/>
      <c r="J8" s="76"/>
      <c r="K8" s="76"/>
      <c r="L8" s="76"/>
      <c r="M8" s="163"/>
      <c r="N8" s="297"/>
      <c r="O8" s="83">
        <f>IF(Eingabe!$Q$45="ja", M8-P8+T8,Overview!$AA$15)</f>
        <v>0</v>
      </c>
      <c r="P8" s="84"/>
      <c r="Q8" s="85"/>
      <c r="R8" s="86"/>
      <c r="S8" s="87"/>
      <c r="T8" s="82"/>
      <c r="U8" s="85"/>
      <c r="V8" s="285" t="str">
        <f>C8</f>
        <v>c.4.1</v>
      </c>
      <c r="W8" s="48"/>
    </row>
    <row r="9" spans="2:23" ht="14.5" x14ac:dyDescent="0.35">
      <c r="B9" s="45"/>
      <c r="C9" s="92" t="str">
        <f t="shared" ref="C9:C17" si="0">"c.4."&amp;ROW()-7</f>
        <v>c.4.2</v>
      </c>
      <c r="D9" s="93"/>
      <c r="E9" s="93"/>
      <c r="F9" s="93"/>
      <c r="G9" s="410"/>
      <c r="H9" s="76"/>
      <c r="I9" s="76"/>
      <c r="J9" s="76"/>
      <c r="K9" s="76"/>
      <c r="L9" s="76"/>
      <c r="M9" s="163"/>
      <c r="N9" s="297"/>
      <c r="O9" s="83">
        <f>IF(Eingabe!$Q$45="ja", M9-P9+T9,Overview!$AA$15)</f>
        <v>0</v>
      </c>
      <c r="P9" s="84"/>
      <c r="Q9" s="85"/>
      <c r="R9" s="86"/>
      <c r="S9" s="87"/>
      <c r="T9" s="82"/>
      <c r="U9" s="85"/>
      <c r="V9" s="286" t="str">
        <f>C9</f>
        <v>c.4.2</v>
      </c>
      <c r="W9" s="48"/>
    </row>
    <row r="10" spans="2:23" ht="14.5" x14ac:dyDescent="0.35">
      <c r="B10" s="45"/>
      <c r="C10" s="92" t="str">
        <f t="shared" si="0"/>
        <v>c.4.3</v>
      </c>
      <c r="D10" s="93"/>
      <c r="E10" s="93"/>
      <c r="F10" s="93"/>
      <c r="G10" s="410"/>
      <c r="H10" s="99"/>
      <c r="I10" s="76"/>
      <c r="J10" s="76"/>
      <c r="K10" s="76"/>
      <c r="L10" s="76"/>
      <c r="M10" s="163"/>
      <c r="N10" s="297"/>
      <c r="O10" s="83">
        <f>IF(Eingabe!$Q$45="ja", M10-P10+T10,Overview!$AA$15)</f>
        <v>0</v>
      </c>
      <c r="P10" s="84"/>
      <c r="Q10" s="85"/>
      <c r="R10" s="86"/>
      <c r="S10" s="87"/>
      <c r="T10" s="82"/>
      <c r="U10" s="85"/>
      <c r="V10" s="286" t="str">
        <f>C10</f>
        <v>c.4.3</v>
      </c>
      <c r="W10" s="48"/>
    </row>
    <row r="11" spans="2:23" ht="14.5" x14ac:dyDescent="0.35">
      <c r="B11" s="45"/>
      <c r="C11" s="92" t="str">
        <f t="shared" si="0"/>
        <v>c.4.4</v>
      </c>
      <c r="D11" s="275"/>
      <c r="E11" s="93"/>
      <c r="F11" s="275"/>
      <c r="G11" s="411"/>
      <c r="H11" s="76"/>
      <c r="I11" s="99"/>
      <c r="J11" s="99"/>
      <c r="K11" s="99"/>
      <c r="L11" s="99"/>
      <c r="M11" s="164"/>
      <c r="N11" s="298"/>
      <c r="O11" s="83">
        <f>IF(Eingabe!$Q$45="ja", M11-P11+T11,Overview!$AA$15)</f>
        <v>0</v>
      </c>
      <c r="P11" s="145"/>
      <c r="Q11" s="146"/>
      <c r="R11" s="147"/>
      <c r="S11" s="148"/>
      <c r="T11" s="149"/>
      <c r="U11" s="146"/>
      <c r="V11" s="287" t="str">
        <f t="shared" ref="V11:V16" si="1">C11</f>
        <v>c.4.4</v>
      </c>
      <c r="W11" s="48"/>
    </row>
    <row r="12" spans="2:23" ht="14.5" x14ac:dyDescent="0.35">
      <c r="B12" s="45"/>
      <c r="C12" s="92" t="str">
        <f t="shared" si="0"/>
        <v>c.4.5</v>
      </c>
      <c r="D12" s="93"/>
      <c r="E12" s="93"/>
      <c r="F12" s="93"/>
      <c r="G12" s="410"/>
      <c r="H12" s="76"/>
      <c r="I12" s="76"/>
      <c r="J12" s="76"/>
      <c r="K12" s="76"/>
      <c r="L12" s="76"/>
      <c r="M12" s="163"/>
      <c r="N12" s="297"/>
      <c r="O12" s="83">
        <f>IF(Eingabe!$Q$45="ja", M12-P12+T12,Overview!$AA$15)</f>
        <v>0</v>
      </c>
      <c r="P12" s="84"/>
      <c r="Q12" s="85"/>
      <c r="R12" s="86"/>
      <c r="S12" s="87"/>
      <c r="T12" s="82"/>
      <c r="U12" s="85"/>
      <c r="V12" s="286" t="str">
        <f t="shared" si="1"/>
        <v>c.4.5</v>
      </c>
      <c r="W12" s="48"/>
    </row>
    <row r="13" spans="2:23" ht="14.5" x14ac:dyDescent="0.35">
      <c r="B13" s="45"/>
      <c r="C13" s="92" t="str">
        <f t="shared" si="0"/>
        <v>c.4.6</v>
      </c>
      <c r="D13" s="93"/>
      <c r="E13" s="93"/>
      <c r="F13" s="93"/>
      <c r="G13" s="410"/>
      <c r="H13" s="76"/>
      <c r="I13" s="76"/>
      <c r="J13" s="76"/>
      <c r="K13" s="76"/>
      <c r="L13" s="76"/>
      <c r="M13" s="163"/>
      <c r="N13" s="297"/>
      <c r="O13" s="83">
        <f>IF(Eingabe!$Q$45="ja", M13-P13+T13,Overview!$AA$15)</f>
        <v>0</v>
      </c>
      <c r="P13" s="84"/>
      <c r="Q13" s="85"/>
      <c r="R13" s="86"/>
      <c r="S13" s="87"/>
      <c r="T13" s="82"/>
      <c r="U13" s="85"/>
      <c r="V13" s="286" t="str">
        <f t="shared" si="1"/>
        <v>c.4.6</v>
      </c>
      <c r="W13" s="48"/>
    </row>
    <row r="14" spans="2:23" ht="14.5" x14ac:dyDescent="0.35">
      <c r="B14" s="45"/>
      <c r="C14" s="92" t="str">
        <f t="shared" si="0"/>
        <v>c.4.7</v>
      </c>
      <c r="D14" s="93"/>
      <c r="E14" s="93"/>
      <c r="F14" s="93"/>
      <c r="G14" s="410"/>
      <c r="H14" s="76"/>
      <c r="I14" s="76"/>
      <c r="J14" s="76"/>
      <c r="K14" s="76"/>
      <c r="L14" s="76"/>
      <c r="M14" s="77"/>
      <c r="N14" s="297"/>
      <c r="O14" s="83">
        <f>IF(Eingabe!$Q$45="ja", M14-P14+T14,Overview!$AA$15)</f>
        <v>0</v>
      </c>
      <c r="P14" s="150"/>
      <c r="Q14" s="88"/>
      <c r="R14" s="89"/>
      <c r="S14" s="90"/>
      <c r="T14" s="91"/>
      <c r="U14" s="88"/>
      <c r="V14" s="286" t="str">
        <f>C14</f>
        <v>c.4.7</v>
      </c>
      <c r="W14" s="48"/>
    </row>
    <row r="15" spans="2:23" ht="14.5" x14ac:dyDescent="0.35">
      <c r="B15" s="45"/>
      <c r="C15" s="92" t="str">
        <f t="shared" si="0"/>
        <v>c.4.8</v>
      </c>
      <c r="D15" s="93"/>
      <c r="E15" s="93"/>
      <c r="F15" s="93"/>
      <c r="G15" s="410"/>
      <c r="H15" s="76"/>
      <c r="I15" s="76"/>
      <c r="J15" s="76"/>
      <c r="K15" s="76"/>
      <c r="L15" s="76"/>
      <c r="M15" s="77"/>
      <c r="N15" s="297"/>
      <c r="O15" s="83">
        <f>IF(Eingabe!$Q$45="ja", M15-P15+T15,Overview!$AA$15)</f>
        <v>0</v>
      </c>
      <c r="P15" s="150"/>
      <c r="Q15" s="88"/>
      <c r="R15" s="89"/>
      <c r="S15" s="90"/>
      <c r="T15" s="91"/>
      <c r="U15" s="88"/>
      <c r="V15" s="286" t="str">
        <f>C15</f>
        <v>c.4.8</v>
      </c>
      <c r="W15" s="48"/>
    </row>
    <row r="16" spans="2:23" ht="14.5" x14ac:dyDescent="0.35">
      <c r="B16" s="45"/>
      <c r="C16" s="92" t="str">
        <f t="shared" si="0"/>
        <v>c.4.9</v>
      </c>
      <c r="D16" s="93"/>
      <c r="E16" s="93"/>
      <c r="F16" s="93"/>
      <c r="G16" s="410"/>
      <c r="H16" s="76"/>
      <c r="I16" s="76"/>
      <c r="J16" s="76"/>
      <c r="K16" s="76"/>
      <c r="L16" s="76"/>
      <c r="M16" s="163"/>
      <c r="N16" s="297"/>
      <c r="O16" s="83">
        <f>IF(Eingabe!$Q$45="ja", M16-P16+T16,Overview!$AA$15)</f>
        <v>0</v>
      </c>
      <c r="P16" s="84"/>
      <c r="Q16" s="85"/>
      <c r="R16" s="86"/>
      <c r="S16" s="87"/>
      <c r="T16" s="82"/>
      <c r="U16" s="85"/>
      <c r="V16" s="286" t="str">
        <f t="shared" si="1"/>
        <v>c.4.9</v>
      </c>
      <c r="W16" s="48"/>
    </row>
    <row r="17" spans="2:24" ht="26.5" thickBot="1" x14ac:dyDescent="0.4">
      <c r="B17" s="45"/>
      <c r="C17" s="263" t="str">
        <f t="shared" si="0"/>
        <v>c.4.10</v>
      </c>
      <c r="D17" s="64"/>
      <c r="E17" s="64"/>
      <c r="F17" s="64"/>
      <c r="G17" s="412"/>
      <c r="H17" s="65" t="s">
        <v>96</v>
      </c>
      <c r="I17" s="65"/>
      <c r="J17" s="65"/>
      <c r="K17" s="65"/>
      <c r="L17" s="65"/>
      <c r="M17" s="67"/>
      <c r="N17" s="299"/>
      <c r="O17" s="83">
        <f>IF(Eingabe!$Q$45="ja", M17-P17+T17,Overview!$AA$15)</f>
        <v>0</v>
      </c>
      <c r="P17" s="290"/>
      <c r="Q17" s="291"/>
      <c r="R17" s="292"/>
      <c r="S17" s="293"/>
      <c r="T17" s="294"/>
      <c r="U17" s="291"/>
      <c r="V17" s="295" t="str">
        <f>C17</f>
        <v>c.4.10</v>
      </c>
      <c r="W17" s="48"/>
    </row>
    <row r="18" spans="2:24" ht="14.5" x14ac:dyDescent="0.35">
      <c r="B18" s="45"/>
      <c r="C18" s="166"/>
      <c r="D18" s="166"/>
      <c r="E18" s="166"/>
      <c r="F18" s="166"/>
      <c r="G18" s="166"/>
      <c r="H18" s="54"/>
      <c r="I18" s="54"/>
      <c r="J18" s="54"/>
      <c r="K18" s="54"/>
      <c r="L18" s="262">
        <f>SUMIF(Tabelle761071516[Beleg vorgelegt (j/n)],"j",Tabelle761071516[Betrag (bei aliquotierten Beträgen als Formel)])</f>
        <v>0</v>
      </c>
      <c r="M18" s="62"/>
      <c r="N18" s="277">
        <f>SUMIF(Tabelle761071516[Beleg geprüft
(j)],"j",Tabelle761071516[anerkannter Betrag nach Prüfung der Endabrechnung])</f>
        <v>0</v>
      </c>
      <c r="O18" s="51"/>
      <c r="P18" s="51"/>
      <c r="Q18" s="52"/>
      <c r="R18" s="52"/>
      <c r="S18" s="52"/>
      <c r="T18" s="52"/>
      <c r="U18" s="52"/>
      <c r="V18" s="52"/>
      <c r="W18" s="48"/>
      <c r="X18" s="53"/>
    </row>
    <row r="19" spans="2:24" ht="14.15" customHeight="1" x14ac:dyDescent="0.35">
      <c r="B19" s="45"/>
      <c r="C19" s="166"/>
      <c r="D19" s="166"/>
      <c r="E19" s="166"/>
      <c r="F19" s="166"/>
      <c r="G19" s="166"/>
      <c r="H19" s="166"/>
      <c r="I19" s="158"/>
      <c r="J19" s="158"/>
      <c r="K19" s="158"/>
      <c r="L19" s="158"/>
      <c r="M19" s="156"/>
      <c r="N19" s="155"/>
      <c r="O19" s="156"/>
      <c r="P19" s="156"/>
      <c r="Q19" s="157"/>
      <c r="R19" s="52"/>
      <c r="S19" s="52"/>
      <c r="T19" s="52"/>
      <c r="U19" s="52"/>
      <c r="V19" s="52"/>
      <c r="W19" s="48"/>
      <c r="X19" s="53"/>
    </row>
    <row r="20" spans="2:24" ht="14.15" customHeight="1" x14ac:dyDescent="0.35">
      <c r="B20" s="45"/>
      <c r="C20" s="166"/>
      <c r="D20" s="166"/>
      <c r="E20" s="166"/>
      <c r="F20" s="166"/>
      <c r="G20" s="166"/>
      <c r="H20" s="166"/>
      <c r="I20" s="159"/>
      <c r="J20" s="159" t="s">
        <v>140</v>
      </c>
      <c r="K20" s="159" t="s">
        <v>142</v>
      </c>
      <c r="L20" s="159" t="s">
        <v>141</v>
      </c>
      <c r="M20" s="159" t="s">
        <v>143</v>
      </c>
      <c r="N20" s="159" t="s">
        <v>144</v>
      </c>
      <c r="O20" s="159" t="s">
        <v>162</v>
      </c>
      <c r="P20" s="159" t="s">
        <v>163</v>
      </c>
      <c r="Q20" s="166"/>
      <c r="R20" s="166"/>
      <c r="S20" s="166"/>
      <c r="T20" s="166"/>
      <c r="U20" s="166"/>
      <c r="V20" s="166"/>
      <c r="W20" s="48"/>
    </row>
    <row r="21" spans="2:24" ht="14.15" customHeight="1" x14ac:dyDescent="0.35">
      <c r="B21" s="45"/>
      <c r="C21" s="166"/>
      <c r="D21" s="166"/>
      <c r="E21" s="166"/>
      <c r="F21" s="166"/>
      <c r="G21" s="166"/>
      <c r="H21" s="166"/>
      <c r="I21" s="160" t="str">
        <f>Eingabe!H$18&amp;": "&amp;Eingabe!H$19</f>
        <v>Maßnahme 1: Titel</v>
      </c>
      <c r="J21" s="151">
        <f>ROUND(SUMIFS(Tabelle761071516[Betrag (bei aliquotierten Beträgen als Formel)],Tabelle761071516[Abrechnungs-zeitraum],"A", Tabelle761071516[Maß-nahme], 1),2)</f>
        <v>0</v>
      </c>
      <c r="K21" s="151">
        <f>ROUND(SUMIFS(Tabelle761071516[Betrag (bei aliquotierten Beträgen als Formel)],Tabelle761071516[Abrechnungs-zeitraum],"B", Tabelle761071516[Maß-nahme], 1),2)</f>
        <v>0</v>
      </c>
      <c r="L21" s="151">
        <f>ROUND(SUMIFS(Tabelle761071516[Betrag (bei aliquotierten Beträgen als Formel)],Tabelle761071516[Abrechnungs-zeitraum],"C", Tabelle761071516[Maß-nahme], 1),2)</f>
        <v>0</v>
      </c>
      <c r="M21" s="151">
        <f>ROUND(SUMIFS(Tabelle761071516[Betrag (bei aliquotierten Beträgen als Formel)],Tabelle761071516[Abrechnungs-zeitraum],"D", Tabelle761071516[Maß-nahme], 1),2)</f>
        <v>0</v>
      </c>
      <c r="N21" s="306">
        <f>ROUND(SUMIF(Tabelle761071516[Maß-nahme],"1",Tabelle761071516[Betrag (bei aliquotierten Beträgen als Formel)]),2)</f>
        <v>0</v>
      </c>
      <c r="O21" s="305">
        <f>IF(Eingabe!Q45="ja",ROUND(SUMIF(Tabelle761071516[Maß-nahme],"1",Tabelle761071516[anerkannter Betrag nach Prüfung der Endabrechnung]),2),Overview!$AA$15)</f>
        <v>0</v>
      </c>
      <c r="P21" s="305">
        <f>IF(Eingabe!Q45="ja", SUMIF(Tabelle761071516[Maß-nahme],"1",Tabelle761071516[aberkannter Betrag nach Prüfung der Endabrechnung])-SUMIF(Tabelle761071516[Maß-nahme],"1",Tabelle761071516[Betrag der Änderung der Aberkennung 
(+ entspricht Zuerkennung)]),Overview!$AA$15)</f>
        <v>0</v>
      </c>
      <c r="Q21" s="166"/>
      <c r="R21" s="166"/>
      <c r="S21" s="166"/>
      <c r="T21" s="166"/>
      <c r="U21" s="166"/>
      <c r="V21" s="166"/>
      <c r="W21" s="48"/>
    </row>
    <row r="22" spans="2:24" ht="14.15" customHeight="1" x14ac:dyDescent="0.35">
      <c r="B22" s="45"/>
      <c r="C22" s="166"/>
      <c r="D22" s="166"/>
      <c r="E22" s="166"/>
      <c r="F22" s="166"/>
      <c r="G22" s="166"/>
      <c r="H22" s="166"/>
      <c r="I22" s="160" t="str">
        <f>Eingabe!I$18&amp;": "&amp;Eingabe!I$19</f>
        <v>Maßnahme 2: keine</v>
      </c>
      <c r="J22" s="151">
        <f>ROUND(SUMIFS(Tabelle761071516[Betrag (bei aliquotierten Beträgen als Formel)],Tabelle761071516[Abrechnungs-zeitraum],"A", Tabelle761071516[Maß-nahme], 2),2)</f>
        <v>0</v>
      </c>
      <c r="K22" s="151">
        <f>ROUND(SUMIFS(Tabelle761071516[Betrag (bei aliquotierten Beträgen als Formel)],Tabelle761071516[Abrechnungs-zeitraum],"B", Tabelle761071516[Maß-nahme], 2),2)</f>
        <v>0</v>
      </c>
      <c r="L22" s="151">
        <f>ROUND(SUMIFS(Tabelle761071516[Betrag (bei aliquotierten Beträgen als Formel)],Tabelle761071516[Abrechnungs-zeitraum],"C", Tabelle761071516[Maß-nahme], 2),2)</f>
        <v>0</v>
      </c>
      <c r="M22" s="151">
        <f>ROUND(SUMIFS(Tabelle761071516[Betrag (bei aliquotierten Beträgen als Formel)],Tabelle761071516[Abrechnungs-zeitraum],"D", Tabelle761071516[Maß-nahme], 2),2)</f>
        <v>0</v>
      </c>
      <c r="N22" s="306">
        <f>ROUND(SUMIF(Tabelle761071516[Maß-nahme],"2",Tabelle761071516[Betrag (bei aliquotierten Beträgen als Formel)]),2)</f>
        <v>0</v>
      </c>
      <c r="O22" s="305">
        <f>IF(Eingabe!Q45="ja",ROUND(SUMIF(Tabelle761071516[Maß-nahme],"2",Tabelle761071516[anerkannter Betrag nach Prüfung der Endabrechnung]),2),Overview!$AA$15)</f>
        <v>0</v>
      </c>
      <c r="P22" s="305">
        <f>IF(Eingabe!Q45="ja", SUMIF(Tabelle761071516[Maß-nahme],"2",Tabelle761071516[aberkannter Betrag nach Prüfung der Endabrechnung])-SUMIF(Tabelle761071516[Maß-nahme],"2",Tabelle761071516[Betrag der Änderung der Aberkennung 
(+ entspricht Zuerkennung)]),Overview!$AA$15)</f>
        <v>0</v>
      </c>
      <c r="Q22" s="166"/>
      <c r="R22" s="166"/>
      <c r="S22" s="166"/>
      <c r="T22" s="166"/>
      <c r="U22" s="166"/>
      <c r="V22" s="166"/>
      <c r="W22" s="48"/>
    </row>
    <row r="23" spans="2:24" ht="14.15" customHeight="1" x14ac:dyDescent="0.35">
      <c r="B23" s="45"/>
      <c r="C23" s="166"/>
      <c r="D23" s="166"/>
      <c r="E23" s="166"/>
      <c r="F23" s="166"/>
      <c r="G23" s="166"/>
      <c r="H23" s="166"/>
      <c r="I23" s="160" t="str">
        <f>Eingabe!J$18&amp;": "&amp;Eingabe!J$19</f>
        <v>Maßnahme 3: keine</v>
      </c>
      <c r="J23" s="151">
        <f>ROUND(SUMIFS(Tabelle761071516[Betrag (bei aliquotierten Beträgen als Formel)],Tabelle761071516[Abrechnungs-zeitraum],"A", Tabelle761071516[Maß-nahme], 3),2)</f>
        <v>0</v>
      </c>
      <c r="K23" s="151">
        <f>ROUND(SUMIFS(Tabelle761071516[Betrag (bei aliquotierten Beträgen als Formel)],Tabelle761071516[Abrechnungs-zeitraum],"B", Tabelle761071516[Maß-nahme], 3),2)</f>
        <v>0</v>
      </c>
      <c r="L23" s="151">
        <f>ROUND(SUMIFS(Tabelle761071516[Betrag (bei aliquotierten Beträgen als Formel)],Tabelle761071516[Abrechnungs-zeitraum],"C", Tabelle761071516[Maß-nahme], 3),2)</f>
        <v>0</v>
      </c>
      <c r="M23" s="151">
        <f>ROUND(SUMIFS(Tabelle761071516[Betrag (bei aliquotierten Beträgen als Formel)],Tabelle761071516[Abrechnungs-zeitraum],"D", Tabelle761071516[Maß-nahme], 3),2)</f>
        <v>0</v>
      </c>
      <c r="N23" s="306">
        <f>ROUND(SUMIF(Tabelle761071516[Maß-nahme],"3",Tabelle761071516[Betrag (bei aliquotierten Beträgen als Formel)]),2)</f>
        <v>0</v>
      </c>
      <c r="O23" s="305">
        <f>IF(Eingabe!Q45="ja",ROUND(SUMIF(Tabelle761071516[Maß-nahme],"3",Tabelle761071516[anerkannter Betrag nach Prüfung der Endabrechnung]),2),Overview!$AA$15)</f>
        <v>0</v>
      </c>
      <c r="P23" s="305">
        <f>IF(Eingabe!Q45="ja", SUMIF(Tabelle761071516[Maß-nahme],"3",Tabelle761071516[aberkannter Betrag nach Prüfung der Endabrechnung])-SUMIF(Tabelle761071516[Maß-nahme],"3",Tabelle761071516[Betrag der Änderung der Aberkennung 
(+ entspricht Zuerkennung)]),Overview!$AA$15)</f>
        <v>0</v>
      </c>
      <c r="Q23" s="166"/>
      <c r="R23" s="166"/>
      <c r="S23" s="166"/>
      <c r="T23" s="166"/>
      <c r="U23" s="166"/>
      <c r="V23" s="166"/>
      <c r="W23" s="48"/>
    </row>
    <row r="24" spans="2:24" ht="14.15" customHeight="1" x14ac:dyDescent="0.35">
      <c r="B24" s="45"/>
      <c r="C24" s="166"/>
      <c r="D24" s="166"/>
      <c r="E24" s="166"/>
      <c r="F24" s="166"/>
      <c r="G24" s="166"/>
      <c r="H24" s="166"/>
      <c r="I24" s="160" t="str">
        <f>Eingabe!K$18&amp;": "&amp;Eingabe!K$19</f>
        <v>Maßnahme 4: keine</v>
      </c>
      <c r="J24" s="151">
        <f>ROUND(SUMIFS(Tabelle761071516[Betrag (bei aliquotierten Beträgen als Formel)],Tabelle761071516[Abrechnungs-zeitraum],"A", Tabelle761071516[Maß-nahme], 4),2)</f>
        <v>0</v>
      </c>
      <c r="K24" s="151">
        <f>ROUND(SUMIFS(Tabelle761071516[Betrag (bei aliquotierten Beträgen als Formel)],Tabelle761071516[Abrechnungs-zeitraum],"B", Tabelle761071516[Maß-nahme], 4),2)</f>
        <v>0</v>
      </c>
      <c r="L24" s="151">
        <f>ROUND(SUMIFS(Tabelle761071516[Betrag (bei aliquotierten Beträgen als Formel)],Tabelle761071516[Abrechnungs-zeitraum],"C", Tabelle761071516[Maß-nahme], 4),2)</f>
        <v>0</v>
      </c>
      <c r="M24" s="151">
        <f>ROUND(SUMIFS(Tabelle761071516[Betrag (bei aliquotierten Beträgen als Formel)],Tabelle761071516[Abrechnungs-zeitraum],"D", Tabelle761071516[Maß-nahme], 4),2)</f>
        <v>0</v>
      </c>
      <c r="N24" s="306">
        <f>ROUND(SUMIF(Tabelle761071516[Maß-nahme],"4",Tabelle761071516[Betrag (bei aliquotierten Beträgen als Formel)]),2)</f>
        <v>0</v>
      </c>
      <c r="O24" s="305">
        <f>IF(Eingabe!Q45="ja", ROUND(SUMIF(Tabelle761071516[Maß-nahme],"4",Tabelle761071516[anerkannter Betrag nach Prüfung der Endabrechnung]),2),Overview!$AA$15)</f>
        <v>0</v>
      </c>
      <c r="P24" s="305">
        <f>IF(Eingabe!Q45="ja", SUMIF(Tabelle761071516[Maß-nahme],"4",Tabelle761071516[aberkannter Betrag nach Prüfung der Endabrechnung])-SUMIF(Tabelle761071516[Maß-nahme],"4",Tabelle761071516[Betrag der Änderung der Aberkennung 
(+ entspricht Zuerkennung)]),Overview!$AA$15)</f>
        <v>0</v>
      </c>
      <c r="Q24" s="166"/>
      <c r="R24" s="166"/>
      <c r="S24" s="166"/>
      <c r="T24" s="166"/>
      <c r="U24" s="166"/>
      <c r="V24" s="166"/>
      <c r="W24" s="48"/>
    </row>
    <row r="25" spans="2:24" ht="14.15" customHeight="1" x14ac:dyDescent="0.35">
      <c r="B25" s="45"/>
      <c r="C25" s="166"/>
      <c r="D25" s="166"/>
      <c r="E25" s="166"/>
      <c r="F25" s="166"/>
      <c r="G25" s="166"/>
      <c r="H25" s="166"/>
      <c r="I25" s="160" t="str">
        <f>Eingabe!L$18&amp;": "&amp;Eingabe!L$19</f>
        <v>Maßnahme 5: keine</v>
      </c>
      <c r="J25" s="151">
        <f>ROUND(SUMIFS(Tabelle761071516[Betrag (bei aliquotierten Beträgen als Formel)],Tabelle761071516[Abrechnungs-zeitraum],"A", Tabelle761071516[Maß-nahme], 5),2)</f>
        <v>0</v>
      </c>
      <c r="K25" s="151">
        <f>ROUND(SUMIFS(Tabelle761071516[Betrag (bei aliquotierten Beträgen als Formel)],Tabelle761071516[Abrechnungs-zeitraum],"B", Tabelle761071516[Maß-nahme], 5),2)</f>
        <v>0</v>
      </c>
      <c r="L25" s="151">
        <f>ROUND(SUMIFS(Tabelle761071516[Betrag (bei aliquotierten Beträgen als Formel)],Tabelle761071516[Abrechnungs-zeitraum],"C", Tabelle761071516[Maß-nahme], 5),2)</f>
        <v>0</v>
      </c>
      <c r="M25" s="151">
        <f>ROUND(SUMIFS(Tabelle761071516[Betrag (bei aliquotierten Beträgen als Formel)],Tabelle761071516[Abrechnungs-zeitraum],"D", Tabelle761071516[Maß-nahme], 5),2)</f>
        <v>0</v>
      </c>
      <c r="N25" s="306">
        <f>ROUND(SUMIF(Tabelle761071516[Maß-nahme],"5",Tabelle761071516[Betrag (bei aliquotierten Beträgen als Formel)]),2)</f>
        <v>0</v>
      </c>
      <c r="O25" s="305">
        <f>IF(Eingabe!Q45="ja", ROUND(SUMIF(Tabelle761071516[Maß-nahme],"5",Tabelle761071516[anerkannter Betrag nach Prüfung der Endabrechnung]),2),Overview!$AA$15)</f>
        <v>0</v>
      </c>
      <c r="P25" s="305">
        <f>IF(Eingabe!Q45="ja", SUMIF(Tabelle761071516[Maß-nahme],"5",Tabelle761071516[aberkannter Betrag nach Prüfung der Endabrechnung])-SUMIF(Tabelle761071516[Maß-nahme],"5",Tabelle761071516[Betrag der Änderung der Aberkennung 
(+ entspricht Zuerkennung)]),Overview!$AA$15)</f>
        <v>0</v>
      </c>
      <c r="Q25" s="166"/>
      <c r="R25" s="166"/>
      <c r="S25" s="166"/>
      <c r="T25" s="166"/>
      <c r="U25" s="166"/>
      <c r="V25" s="166"/>
      <c r="W25" s="48"/>
    </row>
    <row r="26" spans="2:24" ht="14.15" customHeight="1" x14ac:dyDescent="0.35">
      <c r="B26" s="45"/>
      <c r="C26" s="166"/>
      <c r="D26" s="166"/>
      <c r="E26" s="166"/>
      <c r="F26" s="166"/>
      <c r="G26" s="166"/>
      <c r="H26" s="166"/>
      <c r="I26" s="160" t="str">
        <f>Eingabe!M$18&amp;": "&amp;Eingabe!M$19</f>
        <v>Maßnahme 6: keine</v>
      </c>
      <c r="J26" s="151">
        <f>ROUND(SUMIFS(Tabelle761071516[Betrag (bei aliquotierten Beträgen als Formel)],Tabelle761071516[Abrechnungs-zeitraum],"A", Tabelle761071516[Maß-nahme], 6),2)</f>
        <v>0</v>
      </c>
      <c r="K26" s="151">
        <f>ROUND(SUMIFS(Tabelle761071516[Betrag (bei aliquotierten Beträgen als Formel)],Tabelle761071516[Abrechnungs-zeitraum],"B", Tabelle761071516[Maß-nahme], 6),2)</f>
        <v>0</v>
      </c>
      <c r="L26" s="151">
        <f>ROUND(SUMIFS(Tabelle761071516[Betrag (bei aliquotierten Beträgen als Formel)],Tabelle761071516[Abrechnungs-zeitraum],"C", Tabelle761071516[Maß-nahme], 6),2)</f>
        <v>0</v>
      </c>
      <c r="M26" s="151">
        <f>ROUND(SUMIFS(Tabelle761071516[Betrag (bei aliquotierten Beträgen als Formel)],Tabelle761071516[Abrechnungs-zeitraum],"D", Tabelle761071516[Maß-nahme], 6),2)</f>
        <v>0</v>
      </c>
      <c r="N26" s="306">
        <f>ROUND(SUMIF(Tabelle761071516[Maß-nahme],"6",Tabelle761071516[Betrag (bei aliquotierten Beträgen als Formel)]),2)</f>
        <v>0</v>
      </c>
      <c r="O26" s="305">
        <f>IF(Eingabe!Q45="ja", ROUND(SUMIF(Tabelle761071516[Maß-nahme],"6",Tabelle761071516[anerkannter Betrag nach Prüfung der Endabrechnung]),2),Overview!$AA$15)</f>
        <v>0</v>
      </c>
      <c r="P26" s="305">
        <f>IF(Eingabe!Q45="ja", SUMIF(Tabelle761071516[Maß-nahme],"6",Tabelle761071516[aberkannter Betrag nach Prüfung der Endabrechnung])-SUMIF(Tabelle761071516[Maß-nahme],"6",Tabelle761071516[Betrag der Änderung der Aberkennung 
(+ entspricht Zuerkennung)]),Overview!$AA$15)</f>
        <v>0</v>
      </c>
      <c r="Q26" s="166"/>
      <c r="R26" s="166"/>
      <c r="S26" s="166"/>
      <c r="T26" s="166"/>
      <c r="U26" s="166"/>
      <c r="V26" s="166"/>
      <c r="W26" s="48"/>
    </row>
    <row r="27" spans="2:24" ht="14.15" customHeight="1" x14ac:dyDescent="0.35">
      <c r="B27" s="45"/>
      <c r="C27" s="166"/>
      <c r="D27" s="166"/>
      <c r="E27" s="166"/>
      <c r="F27" s="166"/>
      <c r="G27" s="166"/>
      <c r="H27" s="166"/>
      <c r="I27" s="160" t="str">
        <f>Eingabe!N$18&amp;": "&amp;Eingabe!N$19</f>
        <v>Maßnahme 7: keine</v>
      </c>
      <c r="J27" s="151">
        <f>ROUND(SUMIFS(Tabelle761071516[Betrag (bei aliquotierten Beträgen als Formel)],Tabelle761071516[Abrechnungs-zeitraum],"A", Tabelle761071516[Maß-nahme], 7),2)</f>
        <v>0</v>
      </c>
      <c r="K27" s="151">
        <f>ROUND(SUMIFS(Tabelle761071516[Betrag (bei aliquotierten Beträgen als Formel)],Tabelle761071516[Abrechnungs-zeitraum],"B", Tabelle761071516[Maß-nahme], 7),2)</f>
        <v>0</v>
      </c>
      <c r="L27" s="151">
        <f>ROUND(SUMIFS(Tabelle761071516[Betrag (bei aliquotierten Beträgen als Formel)],Tabelle761071516[Abrechnungs-zeitraum],"C", Tabelle761071516[Maß-nahme], 7),2)</f>
        <v>0</v>
      </c>
      <c r="M27" s="151">
        <f>ROUND(SUMIFS(Tabelle761071516[Betrag (bei aliquotierten Beträgen als Formel)],Tabelle761071516[Abrechnungs-zeitraum],"D", Tabelle761071516[Maß-nahme], 7),2)</f>
        <v>0</v>
      </c>
      <c r="N27" s="306">
        <f>ROUND(SUMIF(Tabelle761071516[Maß-nahme],"7",Tabelle761071516[Betrag (bei aliquotierten Beträgen als Formel)]),2)</f>
        <v>0</v>
      </c>
      <c r="O27" s="305">
        <f>IF(Eingabe!Q45="ja", ROUND(SUMIF(Tabelle761071516[Maß-nahme],"7",Tabelle761071516[anerkannter Betrag nach Prüfung der Endabrechnung]),2),Overview!$AA$15)</f>
        <v>0</v>
      </c>
      <c r="P27" s="305">
        <f>IF(Eingabe!Q45="ja", SUMIF(Tabelle761071516[Maß-nahme],"7",Tabelle761071516[aberkannter Betrag nach Prüfung der Endabrechnung])-SUMIF(Tabelle761071516[Maß-nahme],"7",Tabelle761071516[Betrag der Änderung der Aberkennung 
(+ entspricht Zuerkennung)]),Overview!$AA$15)</f>
        <v>0</v>
      </c>
      <c r="Q27" s="166"/>
      <c r="R27" s="166"/>
      <c r="S27" s="166"/>
      <c r="T27" s="166"/>
      <c r="U27" s="166"/>
      <c r="V27" s="166"/>
      <c r="W27" s="48"/>
    </row>
    <row r="28" spans="2:24" ht="14.15" customHeight="1" x14ac:dyDescent="0.35">
      <c r="B28" s="45"/>
      <c r="C28" s="166"/>
      <c r="D28" s="166"/>
      <c r="E28" s="166"/>
      <c r="F28" s="166"/>
      <c r="G28" s="166"/>
      <c r="H28" s="166"/>
      <c r="I28" s="160" t="str">
        <f>Eingabe!O$18&amp;": "&amp;Eingabe!O$19</f>
        <v>Maßnahme 8: keine</v>
      </c>
      <c r="J28" s="151">
        <f>ROUND(SUMIFS(Tabelle761071516[Betrag (bei aliquotierten Beträgen als Formel)],Tabelle761071516[Abrechnungs-zeitraum],"A", Tabelle761071516[Maß-nahme], 8),2)</f>
        <v>0</v>
      </c>
      <c r="K28" s="151">
        <f>ROUND(SUMIFS(Tabelle761071516[Betrag (bei aliquotierten Beträgen als Formel)],Tabelle761071516[Abrechnungs-zeitraum],"B", Tabelle761071516[Maß-nahme], 8),2)</f>
        <v>0</v>
      </c>
      <c r="L28" s="151">
        <f>ROUND(SUMIFS(Tabelle761071516[Betrag (bei aliquotierten Beträgen als Formel)],Tabelle761071516[Abrechnungs-zeitraum],"C", Tabelle761071516[Maß-nahme], 8),2)</f>
        <v>0</v>
      </c>
      <c r="M28" s="151">
        <f>ROUND(SUMIFS(Tabelle761071516[Betrag (bei aliquotierten Beträgen als Formel)],Tabelle761071516[Abrechnungs-zeitraum],"D", Tabelle761071516[Maß-nahme], 8),2)</f>
        <v>0</v>
      </c>
      <c r="N28" s="306">
        <f>ROUND(SUMIF(Tabelle761071516[Maß-nahme],"8",Tabelle761071516[Betrag (bei aliquotierten Beträgen als Formel)]),2)</f>
        <v>0</v>
      </c>
      <c r="O28" s="305">
        <f>IF(Eingabe!Q45="ja", ROUND(SUMIF(Tabelle761071516[Maß-nahme],"8",Tabelle761071516[anerkannter Betrag nach Prüfung der Endabrechnung]),2),Overview!$AA$15)</f>
        <v>0</v>
      </c>
      <c r="P28" s="305">
        <f>IF(Eingabe!Q45="ja", SUMIF(Tabelle761071516[Maß-nahme],"8",Tabelle761071516[aberkannter Betrag nach Prüfung der Endabrechnung])-SUMIF(Tabelle761071516[Maß-nahme],"8",Tabelle761071516[Betrag der Änderung der Aberkennung 
(+ entspricht Zuerkennung)]),Overview!$AA$15)</f>
        <v>0</v>
      </c>
      <c r="Q28" s="166"/>
      <c r="R28" s="166"/>
      <c r="S28" s="166"/>
      <c r="T28" s="166"/>
      <c r="U28" s="166"/>
      <c r="V28" s="166"/>
      <c r="W28" s="48"/>
    </row>
    <row r="29" spans="2:24" ht="14.15" customHeight="1" x14ac:dyDescent="0.35">
      <c r="B29" s="45"/>
      <c r="C29" s="166"/>
      <c r="D29" s="166"/>
      <c r="E29" s="166"/>
      <c r="F29" s="166"/>
      <c r="G29" s="166"/>
      <c r="H29" s="166"/>
      <c r="I29" s="160" t="str">
        <f>Eingabe!P$18&amp;": "&amp;Eingabe!P$19</f>
        <v>Maßnahme 9: keine</v>
      </c>
      <c r="J29" s="151">
        <f>ROUND(SUMIFS(Tabelle761071516[Betrag (bei aliquotierten Beträgen als Formel)],Tabelle761071516[Abrechnungs-zeitraum],"A", Tabelle761071516[Maß-nahme], 9),2)</f>
        <v>0</v>
      </c>
      <c r="K29" s="151">
        <f>ROUND(SUMIFS(Tabelle761071516[Betrag (bei aliquotierten Beträgen als Formel)],Tabelle761071516[Abrechnungs-zeitraum],"B", Tabelle761071516[Maß-nahme], 9),2)</f>
        <v>0</v>
      </c>
      <c r="L29" s="151">
        <f>ROUND(SUMIFS(Tabelle761071516[Betrag (bei aliquotierten Beträgen als Formel)],Tabelle761071516[Abrechnungs-zeitraum],"C", Tabelle761071516[Maß-nahme], 9),2)</f>
        <v>0</v>
      </c>
      <c r="M29" s="151">
        <f>ROUND(SUMIFS(Tabelle761071516[Betrag (bei aliquotierten Beträgen als Formel)],Tabelle761071516[Abrechnungs-zeitraum],"D", Tabelle761071516[Maß-nahme], 9),2)</f>
        <v>0</v>
      </c>
      <c r="N29" s="306">
        <f>ROUND(SUMIF(Tabelle761071516[Maß-nahme],"9",Tabelle761071516[Betrag (bei aliquotierten Beträgen als Formel)]),2)</f>
        <v>0</v>
      </c>
      <c r="O29" s="305">
        <f>IF(Eingabe!Q45="ja", ROUND(SUMIF(Tabelle761071516[Maß-nahme],"9",Tabelle761071516[anerkannter Betrag nach Prüfung der Endabrechnung]),2),Overview!$AA$15)</f>
        <v>0</v>
      </c>
      <c r="P29" s="305">
        <f>IF(Eingabe!Q45="ja", SUMIF(Tabelle761071516[Maß-nahme],"9",Tabelle761071516[aberkannter Betrag nach Prüfung der Endabrechnung])-SUMIF(Tabelle761071516[Maß-nahme],"9",Tabelle761071516[Betrag der Änderung der Aberkennung 
(+ entspricht Zuerkennung)]),Overview!$AA$15)</f>
        <v>0</v>
      </c>
      <c r="Q29" s="166"/>
      <c r="R29" s="166"/>
      <c r="S29" s="166"/>
      <c r="T29" s="166"/>
      <c r="U29" s="166"/>
      <c r="V29" s="166"/>
      <c r="W29" s="48"/>
    </row>
    <row r="30" spans="2:24" ht="14.15" customHeight="1" x14ac:dyDescent="0.35">
      <c r="B30" s="45"/>
      <c r="C30" s="166"/>
      <c r="D30" s="166"/>
      <c r="E30" s="166"/>
      <c r="F30" s="166"/>
      <c r="G30" s="166"/>
      <c r="H30" s="166"/>
      <c r="I30" s="160" t="str">
        <f>Eingabe!Q$18&amp;": "&amp;Eingabe!Q$19</f>
        <v>Maßnahme 10: keine</v>
      </c>
      <c r="J30" s="151">
        <f>ROUND(SUMIFS(Tabelle761071516[Betrag (bei aliquotierten Beträgen als Formel)],Tabelle761071516[Abrechnungs-zeitraum],"A", Tabelle761071516[Maß-nahme], 10),2)</f>
        <v>0</v>
      </c>
      <c r="K30" s="151">
        <f>ROUND(SUMIFS(Tabelle761071516[Betrag (bei aliquotierten Beträgen als Formel)],Tabelle761071516[Abrechnungs-zeitraum],"B", Tabelle761071516[Maß-nahme], 10),2)</f>
        <v>0</v>
      </c>
      <c r="L30" s="151">
        <f>ROUND(SUMIFS(Tabelle761071516[Betrag (bei aliquotierten Beträgen als Formel)],Tabelle761071516[Abrechnungs-zeitraum],"C", Tabelle761071516[Maß-nahme], 10),2)</f>
        <v>0</v>
      </c>
      <c r="M30" s="151">
        <f>ROUND(SUMIFS(Tabelle761071516[Betrag (bei aliquotierten Beträgen als Formel)],Tabelle761071516[Abrechnungs-zeitraum],"D", Tabelle761071516[Maß-nahme], 10),2)</f>
        <v>0</v>
      </c>
      <c r="N30" s="306">
        <f>ROUND(SUMIF(Tabelle761071516[Maß-nahme],"10",Tabelle761071516[Betrag (bei aliquotierten Beträgen als Formel)]),2)</f>
        <v>0</v>
      </c>
      <c r="O30" s="305">
        <f>IF(Eingabe!Q45="ja", ROUND(SUMIF(Tabelle761071516[Maß-nahme],"10",Tabelle761071516[anerkannter Betrag nach Prüfung der Endabrechnung]),2),Overview!$AA$15)</f>
        <v>0</v>
      </c>
      <c r="P30" s="305">
        <f>IF(Eingabe!Q45="ja", SUMIF(Tabelle761071516[Maß-nahme],"10",Tabelle761071516[aberkannter Betrag nach Prüfung der Endabrechnung])-SUMIF(Tabelle761071516[Maß-nahme],"10",Tabelle761071516[Betrag der Änderung der Aberkennung 
(+ entspricht Zuerkennung)]),Overview!$AA$15)</f>
        <v>0</v>
      </c>
      <c r="Q30" s="166"/>
      <c r="R30" s="166"/>
      <c r="S30" s="166"/>
      <c r="T30" s="166"/>
      <c r="U30" s="166"/>
      <c r="V30" s="166"/>
      <c r="W30" s="48"/>
    </row>
    <row r="31" spans="2:24" ht="14.15" customHeight="1" x14ac:dyDescent="0.35">
      <c r="B31" s="45"/>
      <c r="C31" s="166"/>
      <c r="D31" s="166"/>
      <c r="E31" s="166"/>
      <c r="F31" s="166"/>
      <c r="G31" s="166"/>
      <c r="H31" s="166"/>
      <c r="I31" s="307" t="s">
        <v>145</v>
      </c>
      <c r="J31" s="306">
        <f>ROUND(SUMIF(Tabelle761071516[Abrechnungs-zeitraum],"A",Tabelle761071516[Betrag (bei aliquotierten Beträgen als Formel)]),2)</f>
        <v>0</v>
      </c>
      <c r="K31" s="306">
        <f>ROUND(SUMIF(Tabelle761071516[Abrechnungs-zeitraum],"B",Tabelle761071516[Betrag (bei aliquotierten Beträgen als Formel)]),2)</f>
        <v>0</v>
      </c>
      <c r="L31" s="306">
        <f>ROUND(SUMIF(Tabelle761071516[Abrechnungs-zeitraum],"C",Tabelle761071516[Betrag (bei aliquotierten Beträgen als Formel)]),2)</f>
        <v>0</v>
      </c>
      <c r="M31" s="306">
        <f>ROUND(SUMIF(Tabelle761071516[Abrechnungs-zeitraum],"D",Tabelle761071516[Betrag (bei aliquotierten Beträgen als Formel)]),2)</f>
        <v>0</v>
      </c>
      <c r="N31" s="306">
        <f>SUM(N21:N30)</f>
        <v>0</v>
      </c>
      <c r="O31" s="306">
        <f>IF(Eingabe!Q45="ja", SUM(Tabelle761071516[anerkannter Betrag nach Prüfung der Endabrechnung]),Overview!$AA$15)</f>
        <v>0</v>
      </c>
      <c r="P31" s="306">
        <f>IF(Eingabe!Q45="ja", SUM(Tabelle761071516[aberkannter Betrag nach Prüfung der Endabrechnung])-SUM(Tabelle761071516[Betrag der Änderung der Aberkennung 
(+ entspricht Zuerkennung)]),Overview!$AA$15)</f>
        <v>0</v>
      </c>
      <c r="Q31" s="166"/>
      <c r="R31" s="166"/>
      <c r="S31" s="166"/>
      <c r="T31" s="166"/>
      <c r="U31" s="166"/>
      <c r="V31" s="166"/>
      <c r="W31" s="48"/>
    </row>
    <row r="32" spans="2:24" ht="18.75" customHeight="1" x14ac:dyDescent="0.35">
      <c r="B32" s="55"/>
      <c r="C32" s="56"/>
      <c r="D32" s="56"/>
      <c r="E32" s="56"/>
      <c r="F32" s="56"/>
      <c r="G32" s="56"/>
      <c r="H32" s="56"/>
      <c r="I32" s="56"/>
      <c r="J32" s="56"/>
      <c r="K32" s="56"/>
      <c r="L32" s="56"/>
      <c r="M32" s="56"/>
      <c r="N32" s="56"/>
      <c r="O32" s="56"/>
      <c r="P32" s="56"/>
      <c r="Q32" s="56"/>
      <c r="R32" s="56"/>
      <c r="S32" s="56"/>
      <c r="T32" s="56"/>
      <c r="U32" s="56"/>
      <c r="V32" s="56"/>
      <c r="W32" s="57"/>
    </row>
  </sheetData>
  <sheetProtection password="FFFD" sheet="1" insertRows="0"/>
  <protectedRanges>
    <protectedRange password="CDD2" sqref="T8:U17 P8:R17 N8:N17" name="Prüfung"/>
  </protectedRanges>
  <mergeCells count="10">
    <mergeCell ref="D6:J6"/>
    <mergeCell ref="K6:L6"/>
    <mergeCell ref="N6:R6"/>
    <mergeCell ref="T6:U6"/>
    <mergeCell ref="C3:H3"/>
    <mergeCell ref="N3:Q3"/>
    <mergeCell ref="R3:S3"/>
    <mergeCell ref="T3:U3"/>
    <mergeCell ref="C5:M5"/>
    <mergeCell ref="N5:V5"/>
  </mergeCells>
  <conditionalFormatting sqref="K8:L17 N8:N17">
    <cfRule type="containsText" dxfId="58" priority="6" operator="containsText" text="j">
      <formula>NOT(ISERROR(SEARCH("j",K8)))</formula>
    </cfRule>
  </conditionalFormatting>
  <conditionalFormatting sqref="R8:R17">
    <cfRule type="containsText" dxfId="57" priority="5" operator="containsText" text="j">
      <formula>NOT(ISERROR(SEARCH("j",R8)))</formula>
    </cfRule>
  </conditionalFormatting>
  <conditionalFormatting sqref="E8:E17">
    <cfRule type="expression" dxfId="56" priority="2">
      <formula>AND(NOT(E8="a"),NOT(E8="b"),NOT(E8="c"),NOT(E8="d"),NOT(M8=0))</formula>
    </cfRule>
  </conditionalFormatting>
  <conditionalFormatting sqref="F8:F17">
    <cfRule type="expression" dxfId="55" priority="1">
      <formula>AND(NOT(F8=1),NOT(F8=2),NOT(F8=3),NOT(F8=4),NOT(F8=5),NOT(F8=6),NOT(F8=7),NOT(F8=8),NOT(F8=9),NOT(F8=10),NOT(M8=0))</formula>
    </cfRule>
  </conditionalFormatting>
  <pageMargins left="0.25" right="0.25" top="0.75" bottom="0.75" header="0.3" footer="0.3"/>
  <pageSetup paperSize="9" scale="32" fitToHeight="0"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9ABAD9FB-4B49-4F54-8836-A8AC4069FC2F}">
            <xm:f>AND(Eingabe!$Q$45="ja",L8="j",NOT(N8="j"))</xm:f>
            <x14:dxf>
              <fill>
                <patternFill>
                  <bgColor theme="5" tint="0.59996337778862885"/>
                </patternFill>
              </fill>
            </x14:dxf>
          </x14:cfRule>
          <xm:sqref>N8:N17</xm:sqref>
        </x14:conditionalFormatting>
        <x14:conditionalFormatting xmlns:xm="http://schemas.microsoft.com/office/excel/2006/main">
          <x14:cfRule type="expression" priority="3" id="{DA9E6DAE-8D23-4ED0-AF6E-F7BDE0771905}">
            <xm:f>AND(L8="j",M8&gt;=Overview!$AA$11,NOT(K8="j"))</xm:f>
            <x14:dxf>
              <fill>
                <patternFill>
                  <bgColor theme="5" tint="0.59996337778862885"/>
                </patternFill>
              </fill>
            </x14:dxf>
          </x14:cfRule>
          <xm:sqref>K8:K17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2:X32"/>
  <sheetViews>
    <sheetView showGridLines="0" zoomScaleNormal="100" workbookViewId="0">
      <selection activeCell="G8" sqref="G8"/>
    </sheetView>
  </sheetViews>
  <sheetFormatPr baseColWidth="10" defaultColWidth="11.453125" defaultRowHeight="13" x14ac:dyDescent="0.35"/>
  <cols>
    <col min="1" max="2" width="2.54296875" style="44" customWidth="1"/>
    <col min="3" max="3" width="8.453125" style="44" customWidth="1"/>
    <col min="4" max="4" width="10.54296875" style="44" customWidth="1"/>
    <col min="5" max="5" width="11.08984375" style="44" customWidth="1"/>
    <col min="6" max="6" width="8.453125" style="44" customWidth="1"/>
    <col min="7" max="7" width="15.90625" style="44" customWidth="1"/>
    <col min="8" max="8" width="37.453125" style="44" customWidth="1"/>
    <col min="9" max="9" width="60.90625" style="44" customWidth="1"/>
    <col min="10" max="16" width="14.6328125" style="44" customWidth="1"/>
    <col min="17" max="17" width="45.54296875" style="44" customWidth="1"/>
    <col min="18" max="18" width="10.54296875" style="44" customWidth="1"/>
    <col min="19" max="19" width="45.54296875" style="44" customWidth="1"/>
    <col min="20" max="20" width="20.54296875" style="44" customWidth="1"/>
    <col min="21" max="21" width="45.54296875" style="44" customWidth="1"/>
    <col min="22" max="22" width="9.453125" style="44" customWidth="1"/>
    <col min="23" max="23" width="2.54296875" style="44" customWidth="1"/>
    <col min="24" max="16384" width="11.453125" style="44"/>
  </cols>
  <sheetData>
    <row r="2" spans="2:23" ht="18.75" customHeight="1" x14ac:dyDescent="0.35">
      <c r="B2" s="40"/>
      <c r="C2" s="41"/>
      <c r="D2" s="41"/>
      <c r="E2" s="41"/>
      <c r="F2" s="41"/>
      <c r="G2" s="41"/>
      <c r="H2" s="41"/>
      <c r="I2" s="41"/>
      <c r="J2" s="41"/>
      <c r="K2" s="41"/>
      <c r="L2" s="41"/>
      <c r="M2" s="41"/>
      <c r="N2" s="41"/>
      <c r="O2" s="42"/>
      <c r="P2" s="42"/>
      <c r="Q2" s="42"/>
      <c r="R2" s="42"/>
      <c r="S2" s="42"/>
      <c r="T2" s="42"/>
      <c r="U2" s="42"/>
      <c r="V2" s="42"/>
      <c r="W2" s="43"/>
    </row>
    <row r="3" spans="2:23" ht="22.5" customHeight="1" x14ac:dyDescent="0.35">
      <c r="B3" s="45"/>
      <c r="C3" s="583" t="s">
        <v>164</v>
      </c>
      <c r="D3" s="583"/>
      <c r="E3" s="583"/>
      <c r="F3" s="583"/>
      <c r="G3" s="583"/>
      <c r="H3" s="583"/>
      <c r="I3" s="167"/>
      <c r="J3" s="46"/>
      <c r="K3" s="46"/>
      <c r="L3" s="46"/>
      <c r="M3" s="46"/>
      <c r="N3" s="583"/>
      <c r="O3" s="583"/>
      <c r="P3" s="583"/>
      <c r="Q3" s="583"/>
      <c r="R3" s="591"/>
      <c r="S3" s="591"/>
      <c r="T3" s="592"/>
      <c r="U3" s="592"/>
      <c r="V3" s="166"/>
      <c r="W3" s="48"/>
    </row>
    <row r="4" spans="2:23" ht="21.5" thickBot="1" x14ac:dyDescent="0.4">
      <c r="B4" s="45"/>
      <c r="C4" s="166"/>
      <c r="D4" s="166"/>
      <c r="E4" s="166"/>
      <c r="F4" s="166"/>
      <c r="G4" s="166"/>
      <c r="H4" s="166"/>
      <c r="I4" s="166"/>
      <c r="J4" s="166"/>
      <c r="K4" s="166"/>
      <c r="L4" s="166"/>
      <c r="M4" s="166"/>
      <c r="N4" s="166"/>
      <c r="O4" s="49"/>
      <c r="P4" s="49"/>
      <c r="Q4" s="49"/>
      <c r="R4" s="49"/>
      <c r="S4" s="49"/>
      <c r="T4" s="49"/>
      <c r="U4" s="166"/>
      <c r="V4" s="166"/>
      <c r="W4" s="48"/>
    </row>
    <row r="5" spans="2:23" ht="15.75" customHeight="1" x14ac:dyDescent="0.35">
      <c r="B5" s="45"/>
      <c r="C5" s="586" t="s">
        <v>164</v>
      </c>
      <c r="D5" s="587"/>
      <c r="E5" s="587"/>
      <c r="F5" s="587"/>
      <c r="G5" s="587"/>
      <c r="H5" s="587"/>
      <c r="I5" s="587"/>
      <c r="J5" s="587"/>
      <c r="K5" s="587"/>
      <c r="L5" s="587"/>
      <c r="M5" s="588"/>
      <c r="N5" s="584" t="str">
        <f>C5 &amp; " - Prüfung"</f>
        <v>d) Indirekte Kosten - Prüfung</v>
      </c>
      <c r="O5" s="584"/>
      <c r="P5" s="584"/>
      <c r="Q5" s="584"/>
      <c r="R5" s="584"/>
      <c r="S5" s="584"/>
      <c r="T5" s="584"/>
      <c r="U5" s="584"/>
      <c r="V5" s="585"/>
      <c r="W5" s="48"/>
    </row>
    <row r="6" spans="2:23" ht="15.75" customHeight="1" thickBot="1" x14ac:dyDescent="0.4">
      <c r="B6" s="45"/>
      <c r="C6" s="276"/>
      <c r="D6" s="605" t="s">
        <v>104</v>
      </c>
      <c r="E6" s="597"/>
      <c r="F6" s="597"/>
      <c r="G6" s="597"/>
      <c r="H6" s="597"/>
      <c r="I6" s="597"/>
      <c r="J6" s="606"/>
      <c r="K6" s="613" t="s">
        <v>148</v>
      </c>
      <c r="L6" s="596"/>
      <c r="M6" s="80"/>
      <c r="N6" s="589" t="s">
        <v>91</v>
      </c>
      <c r="O6" s="589"/>
      <c r="P6" s="589"/>
      <c r="Q6" s="589"/>
      <c r="R6" s="590"/>
      <c r="S6" s="60" t="s">
        <v>90</v>
      </c>
      <c r="T6" s="593" t="s">
        <v>91</v>
      </c>
      <c r="U6" s="594"/>
      <c r="V6" s="66"/>
      <c r="W6" s="48"/>
    </row>
    <row r="7" spans="2:23" ht="60" customHeight="1" x14ac:dyDescent="0.35">
      <c r="B7" s="45"/>
      <c r="C7" s="278" t="s">
        <v>9</v>
      </c>
      <c r="D7" s="165" t="s">
        <v>77</v>
      </c>
      <c r="E7" s="165" t="s">
        <v>114</v>
      </c>
      <c r="F7" s="165" t="s">
        <v>115</v>
      </c>
      <c r="G7" s="50" t="s">
        <v>7</v>
      </c>
      <c r="H7" s="50" t="s">
        <v>8</v>
      </c>
      <c r="I7" s="59" t="s">
        <v>92</v>
      </c>
      <c r="J7" s="352" t="s">
        <v>159</v>
      </c>
      <c r="K7" s="78" t="s">
        <v>62</v>
      </c>
      <c r="L7" s="79" t="s">
        <v>52</v>
      </c>
      <c r="M7" s="330" t="s">
        <v>53</v>
      </c>
      <c r="N7" s="296" t="s">
        <v>59</v>
      </c>
      <c r="O7" s="279" t="s">
        <v>151</v>
      </c>
      <c r="P7" s="280" t="s">
        <v>152</v>
      </c>
      <c r="Q7" s="281" t="s">
        <v>40</v>
      </c>
      <c r="R7" s="282" t="s">
        <v>57</v>
      </c>
      <c r="S7" s="283" t="s">
        <v>89</v>
      </c>
      <c r="T7" s="280" t="s">
        <v>54</v>
      </c>
      <c r="U7" s="281" t="s">
        <v>48</v>
      </c>
      <c r="V7" s="59" t="s">
        <v>95</v>
      </c>
      <c r="W7" s="48"/>
    </row>
    <row r="8" spans="2:23" ht="14.5" x14ac:dyDescent="0.35">
      <c r="B8" s="45"/>
      <c r="C8" s="284" t="str">
        <f>"d."&amp;ROW()-7</f>
        <v>d.1</v>
      </c>
      <c r="D8" s="93"/>
      <c r="E8" s="93"/>
      <c r="F8" s="93"/>
      <c r="G8" s="410"/>
      <c r="H8" s="76"/>
      <c r="I8" s="317"/>
      <c r="J8" s="348"/>
      <c r="K8" s="76"/>
      <c r="L8" s="76"/>
      <c r="M8" s="163"/>
      <c r="N8" s="297"/>
      <c r="O8" s="83">
        <f>IF(Eingabe!$Q$45="ja", M8-P8+T8,Overview!$AA$15)</f>
        <v>0</v>
      </c>
      <c r="P8" s="84"/>
      <c r="Q8" s="85"/>
      <c r="R8" s="86"/>
      <c r="S8" s="87"/>
      <c r="T8" s="82"/>
      <c r="U8" s="85"/>
      <c r="V8" s="285" t="str">
        <f>C8</f>
        <v>d.1</v>
      </c>
      <c r="W8" s="48"/>
    </row>
    <row r="9" spans="2:23" ht="14.5" x14ac:dyDescent="0.35">
      <c r="B9" s="45"/>
      <c r="C9" s="284" t="str">
        <f t="shared" ref="C9:C17" si="0">"d."&amp;ROW()-7</f>
        <v>d.2</v>
      </c>
      <c r="D9" s="93"/>
      <c r="E9" s="93"/>
      <c r="F9" s="93"/>
      <c r="G9" s="410"/>
      <c r="H9" s="76"/>
      <c r="I9" s="317"/>
      <c r="J9" s="348"/>
      <c r="K9" s="76"/>
      <c r="L9" s="76"/>
      <c r="M9" s="163"/>
      <c r="N9" s="297"/>
      <c r="O9" s="83">
        <f>IF(Eingabe!$Q$45="ja", M9-P9+T9,Overview!$AA$15)</f>
        <v>0</v>
      </c>
      <c r="P9" s="84"/>
      <c r="Q9" s="85"/>
      <c r="R9" s="86"/>
      <c r="S9" s="87"/>
      <c r="T9" s="82"/>
      <c r="U9" s="85"/>
      <c r="V9" s="286" t="str">
        <f>C9</f>
        <v>d.2</v>
      </c>
      <c r="W9" s="48"/>
    </row>
    <row r="10" spans="2:23" ht="14.5" x14ac:dyDescent="0.35">
      <c r="B10" s="45"/>
      <c r="C10" s="284" t="str">
        <f t="shared" si="0"/>
        <v>d.3</v>
      </c>
      <c r="D10" s="93"/>
      <c r="E10" s="93"/>
      <c r="F10" s="93"/>
      <c r="G10" s="410"/>
      <c r="H10" s="99"/>
      <c r="I10" s="317"/>
      <c r="J10" s="348"/>
      <c r="K10" s="76"/>
      <c r="L10" s="76"/>
      <c r="M10" s="163"/>
      <c r="N10" s="297"/>
      <c r="O10" s="83">
        <f>IF(Eingabe!$Q$45="ja", M10-P10+T10,Overview!$AA$15)</f>
        <v>0</v>
      </c>
      <c r="P10" s="84"/>
      <c r="Q10" s="85"/>
      <c r="R10" s="86"/>
      <c r="S10" s="87"/>
      <c r="T10" s="82"/>
      <c r="U10" s="85"/>
      <c r="V10" s="286" t="str">
        <f>C10</f>
        <v>d.3</v>
      </c>
      <c r="W10" s="48"/>
    </row>
    <row r="11" spans="2:23" ht="14.5" x14ac:dyDescent="0.35">
      <c r="B11" s="45"/>
      <c r="C11" s="284" t="str">
        <f t="shared" si="0"/>
        <v>d.4</v>
      </c>
      <c r="D11" s="275"/>
      <c r="E11" s="93"/>
      <c r="F11" s="275"/>
      <c r="G11" s="411"/>
      <c r="H11" s="76"/>
      <c r="I11" s="318"/>
      <c r="J11" s="349"/>
      <c r="K11" s="99"/>
      <c r="L11" s="99"/>
      <c r="M11" s="164"/>
      <c r="N11" s="298"/>
      <c r="O11" s="83">
        <f>IF(Eingabe!$Q$45="ja", M11-P11+T11,Overview!$AA$15)</f>
        <v>0</v>
      </c>
      <c r="P11" s="145"/>
      <c r="Q11" s="146"/>
      <c r="R11" s="147"/>
      <c r="S11" s="148"/>
      <c r="T11" s="149"/>
      <c r="U11" s="146"/>
      <c r="V11" s="287" t="str">
        <f t="shared" ref="V11:V16" si="1">C11</f>
        <v>d.4</v>
      </c>
      <c r="W11" s="48"/>
    </row>
    <row r="12" spans="2:23" ht="14.5" x14ac:dyDescent="0.35">
      <c r="B12" s="45"/>
      <c r="C12" s="284" t="str">
        <f t="shared" si="0"/>
        <v>d.5</v>
      </c>
      <c r="D12" s="93"/>
      <c r="E12" s="93"/>
      <c r="F12" s="93"/>
      <c r="G12" s="410"/>
      <c r="H12" s="76"/>
      <c r="I12" s="317"/>
      <c r="J12" s="348"/>
      <c r="K12" s="76"/>
      <c r="L12" s="76"/>
      <c r="M12" s="163"/>
      <c r="N12" s="297"/>
      <c r="O12" s="83">
        <f>IF(Eingabe!$Q$45="ja", M12-P12+T12,Overview!$AA$15)</f>
        <v>0</v>
      </c>
      <c r="P12" s="84"/>
      <c r="Q12" s="85"/>
      <c r="R12" s="86"/>
      <c r="S12" s="87"/>
      <c r="T12" s="82"/>
      <c r="U12" s="85"/>
      <c r="V12" s="286" t="str">
        <f t="shared" si="1"/>
        <v>d.5</v>
      </c>
      <c r="W12" s="48"/>
    </row>
    <row r="13" spans="2:23" ht="14.5" x14ac:dyDescent="0.35">
      <c r="B13" s="45"/>
      <c r="C13" s="284" t="str">
        <f t="shared" si="0"/>
        <v>d.6</v>
      </c>
      <c r="D13" s="93"/>
      <c r="E13" s="93"/>
      <c r="F13" s="93"/>
      <c r="G13" s="410"/>
      <c r="H13" s="76"/>
      <c r="I13" s="317"/>
      <c r="J13" s="348"/>
      <c r="K13" s="76"/>
      <c r="L13" s="76"/>
      <c r="M13" s="163"/>
      <c r="N13" s="297"/>
      <c r="O13" s="83">
        <f>IF(Eingabe!$Q$45="ja", M13-P13+T13,Overview!$AA$15)</f>
        <v>0</v>
      </c>
      <c r="P13" s="84"/>
      <c r="Q13" s="85"/>
      <c r="R13" s="86"/>
      <c r="S13" s="87"/>
      <c r="T13" s="82"/>
      <c r="U13" s="85"/>
      <c r="V13" s="286" t="str">
        <f t="shared" si="1"/>
        <v>d.6</v>
      </c>
      <c r="W13" s="48"/>
    </row>
    <row r="14" spans="2:23" ht="14.5" x14ac:dyDescent="0.35">
      <c r="B14" s="45"/>
      <c r="C14" s="284" t="str">
        <f t="shared" si="0"/>
        <v>d.7</v>
      </c>
      <c r="D14" s="93"/>
      <c r="E14" s="93"/>
      <c r="F14" s="93"/>
      <c r="G14" s="410"/>
      <c r="H14" s="76"/>
      <c r="I14" s="317"/>
      <c r="J14" s="348"/>
      <c r="K14" s="76"/>
      <c r="L14" s="76"/>
      <c r="M14" s="77"/>
      <c r="N14" s="297"/>
      <c r="O14" s="83">
        <f>IF(Eingabe!$Q$45="ja", M14-P14+T14,Overview!$AA$15)</f>
        <v>0</v>
      </c>
      <c r="P14" s="150"/>
      <c r="Q14" s="88"/>
      <c r="R14" s="89"/>
      <c r="S14" s="90"/>
      <c r="T14" s="91"/>
      <c r="U14" s="88"/>
      <c r="V14" s="286" t="str">
        <f>C14</f>
        <v>d.7</v>
      </c>
      <c r="W14" s="48"/>
    </row>
    <row r="15" spans="2:23" ht="14.5" x14ac:dyDescent="0.35">
      <c r="B15" s="45"/>
      <c r="C15" s="284" t="str">
        <f t="shared" si="0"/>
        <v>d.8</v>
      </c>
      <c r="D15" s="93"/>
      <c r="E15" s="93"/>
      <c r="F15" s="93"/>
      <c r="G15" s="410"/>
      <c r="H15" s="76"/>
      <c r="I15" s="317"/>
      <c r="J15" s="348"/>
      <c r="K15" s="76"/>
      <c r="L15" s="76"/>
      <c r="M15" s="77"/>
      <c r="N15" s="297"/>
      <c r="O15" s="83">
        <f>IF(Eingabe!$Q$45="ja", M15-P15+T15,Overview!$AA$15)</f>
        <v>0</v>
      </c>
      <c r="P15" s="150"/>
      <c r="Q15" s="88"/>
      <c r="R15" s="89"/>
      <c r="S15" s="90"/>
      <c r="T15" s="91"/>
      <c r="U15" s="88"/>
      <c r="V15" s="286" t="str">
        <f>C15</f>
        <v>d.8</v>
      </c>
      <c r="W15" s="48"/>
    </row>
    <row r="16" spans="2:23" ht="14.5" x14ac:dyDescent="0.35">
      <c r="B16" s="45"/>
      <c r="C16" s="284" t="str">
        <f t="shared" si="0"/>
        <v>d.9</v>
      </c>
      <c r="D16" s="93"/>
      <c r="E16" s="93"/>
      <c r="F16" s="93"/>
      <c r="G16" s="410"/>
      <c r="H16" s="76"/>
      <c r="I16" s="317"/>
      <c r="J16" s="348"/>
      <c r="K16" s="76"/>
      <c r="L16" s="76"/>
      <c r="M16" s="163"/>
      <c r="N16" s="297"/>
      <c r="O16" s="83">
        <f>IF(Eingabe!$Q$45="ja", M16-P16+T16,Overview!$AA$15)</f>
        <v>0</v>
      </c>
      <c r="P16" s="84"/>
      <c r="Q16" s="85"/>
      <c r="R16" s="86"/>
      <c r="S16" s="87"/>
      <c r="T16" s="82"/>
      <c r="U16" s="85"/>
      <c r="V16" s="286" t="str">
        <f t="shared" si="1"/>
        <v>d.9</v>
      </c>
      <c r="W16" s="48"/>
    </row>
    <row r="17" spans="2:24" ht="26" x14ac:dyDescent="0.35">
      <c r="B17" s="45"/>
      <c r="C17" s="301" t="str">
        <f t="shared" si="0"/>
        <v>d.10</v>
      </c>
      <c r="D17" s="288"/>
      <c r="E17" s="288"/>
      <c r="F17" s="288"/>
      <c r="G17" s="415"/>
      <c r="H17" s="289" t="s">
        <v>96</v>
      </c>
      <c r="I17" s="351"/>
      <c r="J17" s="353"/>
      <c r="K17" s="289"/>
      <c r="L17" s="289"/>
      <c r="M17" s="304"/>
      <c r="N17" s="299"/>
      <c r="O17" s="83">
        <f>IF(Eingabe!$Q$45="ja", M17-P17+T17,Overview!$AA$15)</f>
        <v>0</v>
      </c>
      <c r="P17" s="290"/>
      <c r="Q17" s="291"/>
      <c r="R17" s="292"/>
      <c r="S17" s="293"/>
      <c r="T17" s="294"/>
      <c r="U17" s="291"/>
      <c r="V17" s="295" t="str">
        <f>C17</f>
        <v>d.10</v>
      </c>
      <c r="W17" s="48"/>
    </row>
    <row r="18" spans="2:24" ht="14.5" x14ac:dyDescent="0.35">
      <c r="B18" s="45"/>
      <c r="C18" s="166"/>
      <c r="D18" s="166"/>
      <c r="E18" s="166"/>
      <c r="F18" s="166"/>
      <c r="G18" s="166"/>
      <c r="H18" s="54"/>
      <c r="I18" s="54"/>
      <c r="J18" s="54"/>
      <c r="K18" s="54"/>
      <c r="L18" s="262">
        <f>SUMIF(Tabelle76107151617[Beleg vorgelegt (j/n)],"j",Tabelle76107151617[Betrag (bei aliquotierten Beträgen als Formel)])</f>
        <v>0</v>
      </c>
      <c r="M18" s="62"/>
      <c r="N18" s="277">
        <f>SUMIF(Tabelle76107151617[Beleg geprüft
(j)],"j",Tabelle76107151617[anerkannter Betrag nach Prüfung der Endabrechnung])</f>
        <v>0</v>
      </c>
      <c r="O18" s="51"/>
      <c r="P18" s="51"/>
      <c r="Q18" s="52"/>
      <c r="R18" s="52"/>
      <c r="S18" s="52"/>
      <c r="T18" s="52"/>
      <c r="U18" s="52"/>
      <c r="V18" s="52"/>
      <c r="W18" s="48"/>
      <c r="X18" s="53"/>
    </row>
    <row r="19" spans="2:24" ht="14.15" customHeight="1" x14ac:dyDescent="0.35">
      <c r="B19" s="45"/>
      <c r="C19" s="166"/>
      <c r="D19" s="166"/>
      <c r="E19" s="166"/>
      <c r="F19" s="166"/>
      <c r="G19" s="166"/>
      <c r="H19" s="166"/>
      <c r="I19" s="158"/>
      <c r="J19" s="158"/>
      <c r="K19" s="158"/>
      <c r="L19" s="158"/>
      <c r="M19" s="156"/>
      <c r="N19" s="155"/>
      <c r="O19" s="156"/>
      <c r="P19" s="156"/>
      <c r="Q19" s="157"/>
      <c r="R19" s="52"/>
      <c r="S19" s="52"/>
      <c r="T19" s="52"/>
      <c r="U19" s="52"/>
      <c r="V19" s="52"/>
      <c r="W19" s="48"/>
      <c r="X19" s="53"/>
    </row>
    <row r="20" spans="2:24" ht="14.15" customHeight="1" x14ac:dyDescent="0.35">
      <c r="B20" s="45"/>
      <c r="C20" s="166"/>
      <c r="D20" s="166"/>
      <c r="E20" s="166"/>
      <c r="F20" s="166"/>
      <c r="G20" s="166"/>
      <c r="H20" s="166"/>
      <c r="I20" s="159"/>
      <c r="J20" s="159" t="s">
        <v>140</v>
      </c>
      <c r="K20" s="159" t="s">
        <v>142</v>
      </c>
      <c r="L20" s="159" t="s">
        <v>141</v>
      </c>
      <c r="M20" s="159" t="s">
        <v>143</v>
      </c>
      <c r="N20" s="159" t="s">
        <v>144</v>
      </c>
      <c r="O20" s="159" t="s">
        <v>162</v>
      </c>
      <c r="P20" s="159" t="s">
        <v>163</v>
      </c>
      <c r="Q20" s="166"/>
      <c r="R20" s="166"/>
      <c r="S20" s="166"/>
      <c r="T20" s="166"/>
      <c r="U20" s="166"/>
      <c r="V20" s="166"/>
      <c r="W20" s="48"/>
    </row>
    <row r="21" spans="2:24" ht="14.15" customHeight="1" x14ac:dyDescent="0.35">
      <c r="B21" s="45"/>
      <c r="C21" s="166"/>
      <c r="D21" s="166"/>
      <c r="E21" s="166"/>
      <c r="F21" s="166"/>
      <c r="G21" s="166"/>
      <c r="H21" s="166"/>
      <c r="I21" s="160" t="str">
        <f>Eingabe!H$18&amp;": "&amp;Eingabe!H$19</f>
        <v>Maßnahme 1: Titel</v>
      </c>
      <c r="J21" s="151">
        <f>ROUND(SUMIFS(Tabelle76107151617[Betrag (bei aliquotierten Beträgen als Formel)],Tabelle76107151617[Abrechnungs-zeitraum],"A", Tabelle76107151617[Maß-nahme], 1),2)</f>
        <v>0</v>
      </c>
      <c r="K21" s="151">
        <f>ROUND(SUMIFS(Tabelle76107151617[Betrag (bei aliquotierten Beträgen als Formel)],Tabelle76107151617[Abrechnungs-zeitraum],"B", Tabelle76107151617[Maß-nahme], 1),2)</f>
        <v>0</v>
      </c>
      <c r="L21" s="151">
        <f>ROUND(SUMIFS(Tabelle76107151617[Betrag (bei aliquotierten Beträgen als Formel)],Tabelle76107151617[Abrechnungs-zeitraum],"C", Tabelle76107151617[Maß-nahme], 1),2)</f>
        <v>0</v>
      </c>
      <c r="M21" s="151">
        <f>ROUND(SUMIFS(Tabelle76107151617[Betrag (bei aliquotierten Beträgen als Formel)],Tabelle76107151617[Abrechnungs-zeitraum],"D", Tabelle76107151617[Maß-nahme], 1),2)</f>
        <v>0</v>
      </c>
      <c r="N21" s="306">
        <f>ROUND(SUMIF(Tabelle76107151617[Maß-nahme],"1",Tabelle76107151617[Betrag (bei aliquotierten Beträgen als Formel)]),2)</f>
        <v>0</v>
      </c>
      <c r="O21" s="305">
        <f>IF(Eingabe!Q45="ja",ROUND(SUMIF(Tabelle76107151617[Maß-nahme],"1",Tabelle76107151617[anerkannter Betrag nach Prüfung der Endabrechnung]),2),Overview!$AA$15)</f>
        <v>0</v>
      </c>
      <c r="P21" s="305">
        <f>IF(Eingabe!Q45="ja", SUMIF(Tabelle76107151617[Maß-nahme],"1",Tabelle76107151617[aberkannter Betrag nach Prüfung der Endabrechnung])-SUMIF(Tabelle76107151617[Maß-nahme],"1",Tabelle76107151617[Betrag der Änderung der Aberkennung 
(+ entspricht Zuerkennung)]),Overview!$AA$15)</f>
        <v>0</v>
      </c>
      <c r="Q21" s="166"/>
      <c r="R21" s="166"/>
      <c r="S21" s="166"/>
      <c r="T21" s="166"/>
      <c r="U21" s="166"/>
      <c r="V21" s="166"/>
      <c r="W21" s="48"/>
    </row>
    <row r="22" spans="2:24" ht="14.15" customHeight="1" x14ac:dyDescent="0.35">
      <c r="B22" s="45"/>
      <c r="C22" s="166"/>
      <c r="D22" s="166"/>
      <c r="E22" s="166"/>
      <c r="F22" s="166"/>
      <c r="G22" s="166"/>
      <c r="H22" s="166"/>
      <c r="I22" s="160" t="str">
        <f>Eingabe!I$18&amp;": "&amp;Eingabe!I$19</f>
        <v>Maßnahme 2: keine</v>
      </c>
      <c r="J22" s="151">
        <f>ROUND(SUMIFS(Tabelle76107151617[Betrag (bei aliquotierten Beträgen als Formel)],Tabelle76107151617[Abrechnungs-zeitraum],"A", Tabelle76107151617[Maß-nahme], 2),2)</f>
        <v>0</v>
      </c>
      <c r="K22" s="151">
        <f>ROUND(SUMIFS(Tabelle76107151617[Betrag (bei aliquotierten Beträgen als Formel)],Tabelle76107151617[Abrechnungs-zeitraum],"B", Tabelle76107151617[Maß-nahme], 2),2)</f>
        <v>0</v>
      </c>
      <c r="L22" s="151">
        <f>ROUND(SUMIFS(Tabelle76107151617[Betrag (bei aliquotierten Beträgen als Formel)],Tabelle76107151617[Abrechnungs-zeitraum],"C", Tabelle76107151617[Maß-nahme], 2),2)</f>
        <v>0</v>
      </c>
      <c r="M22" s="151">
        <f>ROUND(SUMIFS(Tabelle76107151617[Betrag (bei aliquotierten Beträgen als Formel)],Tabelle76107151617[Abrechnungs-zeitraum],"D", Tabelle76107151617[Maß-nahme], 2),2)</f>
        <v>0</v>
      </c>
      <c r="N22" s="306">
        <f>ROUND(SUMIF(Tabelle76107151617[Maß-nahme],"2",Tabelle76107151617[Betrag (bei aliquotierten Beträgen als Formel)]),2)</f>
        <v>0</v>
      </c>
      <c r="O22" s="305">
        <f>IF(Eingabe!Q45="ja",ROUND(SUMIF(Tabelle76107151617[Maß-nahme],"2",Tabelle76107151617[anerkannter Betrag nach Prüfung der Endabrechnung]),2),Overview!$AA$15)</f>
        <v>0</v>
      </c>
      <c r="P22" s="305">
        <f>IF(Eingabe!Q45="ja", SUMIF(Tabelle76107151617[Maß-nahme],"2",Tabelle76107151617[aberkannter Betrag nach Prüfung der Endabrechnung])-SUMIF(Tabelle76107151617[Maß-nahme],"2",Tabelle76107151617[Betrag der Änderung der Aberkennung 
(+ entspricht Zuerkennung)]),Overview!$AA$15)</f>
        <v>0</v>
      </c>
      <c r="Q22" s="166"/>
      <c r="R22" s="166"/>
      <c r="S22" s="166"/>
      <c r="T22" s="166"/>
      <c r="U22" s="166"/>
      <c r="V22" s="166"/>
      <c r="W22" s="48"/>
    </row>
    <row r="23" spans="2:24" ht="14.15" customHeight="1" x14ac:dyDescent="0.35">
      <c r="B23" s="45"/>
      <c r="C23" s="166"/>
      <c r="D23" s="166"/>
      <c r="E23" s="166"/>
      <c r="F23" s="166"/>
      <c r="G23" s="166"/>
      <c r="H23" s="166"/>
      <c r="I23" s="160" t="str">
        <f>Eingabe!J$18&amp;": "&amp;Eingabe!J$19</f>
        <v>Maßnahme 3: keine</v>
      </c>
      <c r="J23" s="151">
        <f>ROUND(SUMIFS(Tabelle76107151617[Betrag (bei aliquotierten Beträgen als Formel)],Tabelle76107151617[Abrechnungs-zeitraum],"A", Tabelle76107151617[Maß-nahme], 3),2)</f>
        <v>0</v>
      </c>
      <c r="K23" s="151">
        <f>ROUND(SUMIFS(Tabelle76107151617[Betrag (bei aliquotierten Beträgen als Formel)],Tabelle76107151617[Abrechnungs-zeitraum],"B", Tabelle76107151617[Maß-nahme], 3),2)</f>
        <v>0</v>
      </c>
      <c r="L23" s="151">
        <f>ROUND(SUMIFS(Tabelle76107151617[Betrag (bei aliquotierten Beträgen als Formel)],Tabelle76107151617[Abrechnungs-zeitraum],"C", Tabelle76107151617[Maß-nahme], 3),2)</f>
        <v>0</v>
      </c>
      <c r="M23" s="151">
        <f>ROUND(SUMIFS(Tabelle76107151617[Betrag (bei aliquotierten Beträgen als Formel)],Tabelle76107151617[Abrechnungs-zeitraum],"D", Tabelle76107151617[Maß-nahme], 3),2)</f>
        <v>0</v>
      </c>
      <c r="N23" s="306">
        <f>ROUND(SUMIF(Tabelle76107151617[Maß-nahme],"3",Tabelle76107151617[Betrag (bei aliquotierten Beträgen als Formel)]),2)</f>
        <v>0</v>
      </c>
      <c r="O23" s="305">
        <f>IF(Eingabe!Q45="ja",ROUND(SUMIF(Tabelle76107151617[Maß-nahme],"3",Tabelle76107151617[anerkannter Betrag nach Prüfung der Endabrechnung]),2),Overview!$AA$15)</f>
        <v>0</v>
      </c>
      <c r="P23" s="305">
        <f>IF(Eingabe!Q45="ja", SUMIF(Tabelle76107151617[Maß-nahme],"3",Tabelle76107151617[aberkannter Betrag nach Prüfung der Endabrechnung])-SUMIF(Tabelle76107151617[Maß-nahme],"3",Tabelle76107151617[Betrag der Änderung der Aberkennung 
(+ entspricht Zuerkennung)]),Overview!$AA$15)</f>
        <v>0</v>
      </c>
      <c r="Q23" s="166"/>
      <c r="R23" s="166"/>
      <c r="S23" s="166"/>
      <c r="T23" s="166"/>
      <c r="U23" s="166"/>
      <c r="V23" s="166"/>
      <c r="W23" s="48"/>
    </row>
    <row r="24" spans="2:24" ht="14.15" customHeight="1" x14ac:dyDescent="0.35">
      <c r="B24" s="45"/>
      <c r="C24" s="166"/>
      <c r="D24" s="166"/>
      <c r="E24" s="166"/>
      <c r="F24" s="166"/>
      <c r="G24" s="166"/>
      <c r="H24" s="166"/>
      <c r="I24" s="160" t="str">
        <f>Eingabe!K$18&amp;": "&amp;Eingabe!K$19</f>
        <v>Maßnahme 4: keine</v>
      </c>
      <c r="J24" s="151">
        <f>ROUND(SUMIFS(Tabelle76107151617[Betrag (bei aliquotierten Beträgen als Formel)],Tabelle76107151617[Abrechnungs-zeitraum],"A", Tabelle76107151617[Maß-nahme], 4),2)</f>
        <v>0</v>
      </c>
      <c r="K24" s="151">
        <f>ROUND(SUMIFS(Tabelle76107151617[Betrag (bei aliquotierten Beträgen als Formel)],Tabelle76107151617[Abrechnungs-zeitraum],"B", Tabelle76107151617[Maß-nahme], 4),2)</f>
        <v>0</v>
      </c>
      <c r="L24" s="151">
        <f>ROUND(SUMIFS(Tabelle76107151617[Betrag (bei aliquotierten Beträgen als Formel)],Tabelle76107151617[Abrechnungs-zeitraum],"C", Tabelle76107151617[Maß-nahme], 4),2)</f>
        <v>0</v>
      </c>
      <c r="M24" s="151">
        <f>ROUND(SUMIFS(Tabelle76107151617[Betrag (bei aliquotierten Beträgen als Formel)],Tabelle76107151617[Abrechnungs-zeitraum],"D", Tabelle76107151617[Maß-nahme], 4),2)</f>
        <v>0</v>
      </c>
      <c r="N24" s="306">
        <f>ROUND(SUMIF(Tabelle76107151617[Maß-nahme],"4",Tabelle76107151617[Betrag (bei aliquotierten Beträgen als Formel)]),2)</f>
        <v>0</v>
      </c>
      <c r="O24" s="305">
        <f>IF(Eingabe!Q45="ja", ROUND(SUMIF(Tabelle76107151617[Maß-nahme],"4",Tabelle76107151617[anerkannter Betrag nach Prüfung der Endabrechnung]),2),Overview!$AA$15)</f>
        <v>0</v>
      </c>
      <c r="P24" s="305">
        <f>IF(Eingabe!Q45="ja", SUMIF(Tabelle76107151617[Maß-nahme],"4",Tabelle76107151617[aberkannter Betrag nach Prüfung der Endabrechnung])-SUMIF(Tabelle76107151617[Maß-nahme],"4",Tabelle76107151617[Betrag der Änderung der Aberkennung 
(+ entspricht Zuerkennung)]),Overview!$AA$15)</f>
        <v>0</v>
      </c>
      <c r="Q24" s="166"/>
      <c r="R24" s="166"/>
      <c r="S24" s="166"/>
      <c r="T24" s="166"/>
      <c r="U24" s="166"/>
      <c r="V24" s="166"/>
      <c r="W24" s="48"/>
    </row>
    <row r="25" spans="2:24" ht="14.15" customHeight="1" x14ac:dyDescent="0.35">
      <c r="B25" s="45"/>
      <c r="C25" s="166"/>
      <c r="D25" s="166"/>
      <c r="E25" s="166"/>
      <c r="F25" s="166"/>
      <c r="G25" s="166"/>
      <c r="H25" s="166"/>
      <c r="I25" s="160" t="str">
        <f>Eingabe!L$18&amp;": "&amp;Eingabe!L$19</f>
        <v>Maßnahme 5: keine</v>
      </c>
      <c r="J25" s="151">
        <f>ROUND(SUMIFS(Tabelle76107151617[Betrag (bei aliquotierten Beträgen als Formel)],Tabelle76107151617[Abrechnungs-zeitraum],"A", Tabelle76107151617[Maß-nahme], 5),2)</f>
        <v>0</v>
      </c>
      <c r="K25" s="151">
        <f>ROUND(SUMIFS(Tabelle76107151617[Betrag (bei aliquotierten Beträgen als Formel)],Tabelle76107151617[Abrechnungs-zeitraum],"B", Tabelle76107151617[Maß-nahme], 5),2)</f>
        <v>0</v>
      </c>
      <c r="L25" s="151">
        <f>ROUND(SUMIFS(Tabelle76107151617[Betrag (bei aliquotierten Beträgen als Formel)],Tabelle76107151617[Abrechnungs-zeitraum],"C", Tabelle76107151617[Maß-nahme], 5),2)</f>
        <v>0</v>
      </c>
      <c r="M25" s="151">
        <f>ROUND(SUMIFS(Tabelle76107151617[Betrag (bei aliquotierten Beträgen als Formel)],Tabelle76107151617[Abrechnungs-zeitraum],"D", Tabelle76107151617[Maß-nahme], 5),2)</f>
        <v>0</v>
      </c>
      <c r="N25" s="306">
        <f>ROUND(SUMIF(Tabelle76107151617[Maß-nahme],"5",Tabelle76107151617[Betrag (bei aliquotierten Beträgen als Formel)]),2)</f>
        <v>0</v>
      </c>
      <c r="O25" s="305">
        <f>IF(Eingabe!Q45="ja", ROUND(SUMIF(Tabelle76107151617[Maß-nahme],"5",Tabelle76107151617[anerkannter Betrag nach Prüfung der Endabrechnung]),2),Overview!$AA$15)</f>
        <v>0</v>
      </c>
      <c r="P25" s="305">
        <f>IF(Eingabe!Q45="ja", SUMIF(Tabelle76107151617[Maß-nahme],"5",Tabelle76107151617[aberkannter Betrag nach Prüfung der Endabrechnung])-SUMIF(Tabelle76107151617[Maß-nahme],"5",Tabelle76107151617[Betrag der Änderung der Aberkennung 
(+ entspricht Zuerkennung)]),Overview!$AA$15)</f>
        <v>0</v>
      </c>
      <c r="Q25" s="166"/>
      <c r="R25" s="166"/>
      <c r="S25" s="166"/>
      <c r="T25" s="166"/>
      <c r="U25" s="166"/>
      <c r="V25" s="166"/>
      <c r="W25" s="48"/>
    </row>
    <row r="26" spans="2:24" ht="14.15" customHeight="1" x14ac:dyDescent="0.35">
      <c r="B26" s="45"/>
      <c r="C26" s="166"/>
      <c r="D26" s="166"/>
      <c r="E26" s="166"/>
      <c r="F26" s="166"/>
      <c r="G26" s="166"/>
      <c r="H26" s="166"/>
      <c r="I26" s="160" t="str">
        <f>Eingabe!M$18&amp;": "&amp;Eingabe!M$19</f>
        <v>Maßnahme 6: keine</v>
      </c>
      <c r="J26" s="151">
        <f>ROUND(SUMIFS(Tabelle76107151617[Betrag (bei aliquotierten Beträgen als Formel)],Tabelle76107151617[Abrechnungs-zeitraum],"A", Tabelle76107151617[Maß-nahme], 6),2)</f>
        <v>0</v>
      </c>
      <c r="K26" s="151">
        <f>ROUND(SUMIFS(Tabelle76107151617[Betrag (bei aliquotierten Beträgen als Formel)],Tabelle76107151617[Abrechnungs-zeitraum],"B", Tabelle76107151617[Maß-nahme], 6),2)</f>
        <v>0</v>
      </c>
      <c r="L26" s="151">
        <f>ROUND(SUMIFS(Tabelle76107151617[Betrag (bei aliquotierten Beträgen als Formel)],Tabelle76107151617[Abrechnungs-zeitraum],"C", Tabelle76107151617[Maß-nahme], 6),2)</f>
        <v>0</v>
      </c>
      <c r="M26" s="151">
        <f>ROUND(SUMIFS(Tabelle76107151617[Betrag (bei aliquotierten Beträgen als Formel)],Tabelle76107151617[Abrechnungs-zeitraum],"D", Tabelle76107151617[Maß-nahme], 6),2)</f>
        <v>0</v>
      </c>
      <c r="N26" s="306">
        <f>ROUND(SUMIF(Tabelle76107151617[Maß-nahme],"6",Tabelle76107151617[Betrag (bei aliquotierten Beträgen als Formel)]),2)</f>
        <v>0</v>
      </c>
      <c r="O26" s="305">
        <f>IF(Eingabe!Q45="ja", ROUND(SUMIF(Tabelle76107151617[Maß-nahme],"6",Tabelle76107151617[anerkannter Betrag nach Prüfung der Endabrechnung]),2),Overview!$AA$15)</f>
        <v>0</v>
      </c>
      <c r="P26" s="305">
        <f>IF(Eingabe!Q45="ja", SUMIF(Tabelle76107151617[Maß-nahme],"6",Tabelle76107151617[aberkannter Betrag nach Prüfung der Endabrechnung])-SUMIF(Tabelle76107151617[Maß-nahme],"6",Tabelle76107151617[Betrag der Änderung der Aberkennung 
(+ entspricht Zuerkennung)]),Overview!$AA$15)</f>
        <v>0</v>
      </c>
      <c r="Q26" s="166"/>
      <c r="R26" s="166"/>
      <c r="S26" s="166"/>
      <c r="T26" s="166"/>
      <c r="U26" s="166"/>
      <c r="V26" s="166"/>
      <c r="W26" s="48"/>
    </row>
    <row r="27" spans="2:24" ht="14.15" customHeight="1" x14ac:dyDescent="0.35">
      <c r="B27" s="45"/>
      <c r="C27" s="166"/>
      <c r="D27" s="166"/>
      <c r="E27" s="166"/>
      <c r="F27" s="166"/>
      <c r="G27" s="166"/>
      <c r="H27" s="166"/>
      <c r="I27" s="160" t="str">
        <f>Eingabe!N$18&amp;": "&amp;Eingabe!N$19</f>
        <v>Maßnahme 7: keine</v>
      </c>
      <c r="J27" s="151">
        <f>ROUND(SUMIFS(Tabelle76107151617[Betrag (bei aliquotierten Beträgen als Formel)],Tabelle76107151617[Abrechnungs-zeitraum],"A", Tabelle76107151617[Maß-nahme], 7),2)</f>
        <v>0</v>
      </c>
      <c r="K27" s="151">
        <f>ROUND(SUMIFS(Tabelle76107151617[Betrag (bei aliquotierten Beträgen als Formel)],Tabelle76107151617[Abrechnungs-zeitraum],"B", Tabelle76107151617[Maß-nahme], 7),2)</f>
        <v>0</v>
      </c>
      <c r="L27" s="151">
        <f>ROUND(SUMIFS(Tabelle76107151617[Betrag (bei aliquotierten Beträgen als Formel)],Tabelle76107151617[Abrechnungs-zeitraum],"C", Tabelle76107151617[Maß-nahme], 7),2)</f>
        <v>0</v>
      </c>
      <c r="M27" s="151">
        <f>ROUND(SUMIFS(Tabelle76107151617[Betrag (bei aliquotierten Beträgen als Formel)],Tabelle76107151617[Abrechnungs-zeitraum],"D", Tabelle76107151617[Maß-nahme], 7),2)</f>
        <v>0</v>
      </c>
      <c r="N27" s="306">
        <f>ROUND(SUMIF(Tabelle76107151617[Maß-nahme],"7",Tabelle76107151617[Betrag (bei aliquotierten Beträgen als Formel)]),2)</f>
        <v>0</v>
      </c>
      <c r="O27" s="305">
        <f>IF(Eingabe!Q45="ja", ROUND(SUMIF(Tabelle76107151617[Maß-nahme],"7",Tabelle76107151617[anerkannter Betrag nach Prüfung der Endabrechnung]),2),Overview!$AA$15)</f>
        <v>0</v>
      </c>
      <c r="P27" s="305">
        <f>IF(Eingabe!Q45="ja", SUMIF(Tabelle76107151617[Maß-nahme],"7",Tabelle76107151617[aberkannter Betrag nach Prüfung der Endabrechnung])-SUMIF(Tabelle76107151617[Maß-nahme],"7",Tabelle76107151617[Betrag der Änderung der Aberkennung 
(+ entspricht Zuerkennung)]),Overview!$AA$15)</f>
        <v>0</v>
      </c>
      <c r="Q27" s="166"/>
      <c r="R27" s="166"/>
      <c r="S27" s="166"/>
      <c r="T27" s="166"/>
      <c r="U27" s="166"/>
      <c r="V27" s="166"/>
      <c r="W27" s="48"/>
    </row>
    <row r="28" spans="2:24" ht="14.15" customHeight="1" x14ac:dyDescent="0.35">
      <c r="B28" s="45"/>
      <c r="C28" s="166"/>
      <c r="D28" s="166"/>
      <c r="E28" s="166"/>
      <c r="F28" s="166"/>
      <c r="G28" s="166"/>
      <c r="H28" s="166"/>
      <c r="I28" s="160" t="str">
        <f>Eingabe!O$18&amp;": "&amp;Eingabe!O$19</f>
        <v>Maßnahme 8: keine</v>
      </c>
      <c r="J28" s="151">
        <f>ROUND(SUMIFS(Tabelle76107151617[Betrag (bei aliquotierten Beträgen als Formel)],Tabelle76107151617[Abrechnungs-zeitraum],"A", Tabelle76107151617[Maß-nahme], 8),2)</f>
        <v>0</v>
      </c>
      <c r="K28" s="151">
        <f>ROUND(SUMIFS(Tabelle76107151617[Betrag (bei aliquotierten Beträgen als Formel)],Tabelle76107151617[Abrechnungs-zeitraum],"B", Tabelle76107151617[Maß-nahme], 8),2)</f>
        <v>0</v>
      </c>
      <c r="L28" s="151">
        <f>ROUND(SUMIFS(Tabelle76107151617[Betrag (bei aliquotierten Beträgen als Formel)],Tabelle76107151617[Abrechnungs-zeitraum],"C", Tabelle76107151617[Maß-nahme], 8),2)</f>
        <v>0</v>
      </c>
      <c r="M28" s="151">
        <f>ROUND(SUMIFS(Tabelle76107151617[Betrag (bei aliquotierten Beträgen als Formel)],Tabelle76107151617[Abrechnungs-zeitraum],"D", Tabelle76107151617[Maß-nahme], 8),2)</f>
        <v>0</v>
      </c>
      <c r="N28" s="306">
        <f>ROUND(SUMIF(Tabelle76107151617[Maß-nahme],"8",Tabelle76107151617[Betrag (bei aliquotierten Beträgen als Formel)]),2)</f>
        <v>0</v>
      </c>
      <c r="O28" s="305">
        <f>IF(Eingabe!Q45="ja", ROUND(SUMIF(Tabelle76107151617[Maß-nahme],"8",Tabelle76107151617[anerkannter Betrag nach Prüfung der Endabrechnung]),2),Overview!$AA$15)</f>
        <v>0</v>
      </c>
      <c r="P28" s="305">
        <f>IF(Eingabe!Q45="ja", SUMIF(Tabelle76107151617[Maß-nahme],"8",Tabelle76107151617[aberkannter Betrag nach Prüfung der Endabrechnung])-SUMIF(Tabelle76107151617[Maß-nahme],"8",Tabelle76107151617[Betrag der Änderung der Aberkennung 
(+ entspricht Zuerkennung)]),Overview!$AA$15)</f>
        <v>0</v>
      </c>
      <c r="Q28" s="166"/>
      <c r="R28" s="166"/>
      <c r="S28" s="166"/>
      <c r="T28" s="166"/>
      <c r="U28" s="166"/>
      <c r="V28" s="166"/>
      <c r="W28" s="48"/>
    </row>
    <row r="29" spans="2:24" ht="14.15" customHeight="1" x14ac:dyDescent="0.35">
      <c r="B29" s="45"/>
      <c r="C29" s="166"/>
      <c r="D29" s="166"/>
      <c r="E29" s="166"/>
      <c r="F29" s="166"/>
      <c r="G29" s="166"/>
      <c r="H29" s="166"/>
      <c r="I29" s="160" t="str">
        <f>Eingabe!P$18&amp;": "&amp;Eingabe!P$19</f>
        <v>Maßnahme 9: keine</v>
      </c>
      <c r="J29" s="151">
        <f>ROUND(SUMIFS(Tabelle76107151617[Betrag (bei aliquotierten Beträgen als Formel)],Tabelle76107151617[Abrechnungs-zeitraum],"A", Tabelle76107151617[Maß-nahme], 9),2)</f>
        <v>0</v>
      </c>
      <c r="K29" s="151">
        <f>ROUND(SUMIFS(Tabelle76107151617[Betrag (bei aliquotierten Beträgen als Formel)],Tabelle76107151617[Abrechnungs-zeitraum],"B", Tabelle76107151617[Maß-nahme], 9),2)</f>
        <v>0</v>
      </c>
      <c r="L29" s="151">
        <f>ROUND(SUMIFS(Tabelle76107151617[Betrag (bei aliquotierten Beträgen als Formel)],Tabelle76107151617[Abrechnungs-zeitraum],"C", Tabelle76107151617[Maß-nahme], 9),2)</f>
        <v>0</v>
      </c>
      <c r="M29" s="151">
        <f>ROUND(SUMIFS(Tabelle76107151617[Betrag (bei aliquotierten Beträgen als Formel)],Tabelle76107151617[Abrechnungs-zeitraum],"D", Tabelle76107151617[Maß-nahme], 9),2)</f>
        <v>0</v>
      </c>
      <c r="N29" s="306">
        <f>ROUND(SUMIF(Tabelle76107151617[Maß-nahme],"9",Tabelle76107151617[Betrag (bei aliquotierten Beträgen als Formel)]),2)</f>
        <v>0</v>
      </c>
      <c r="O29" s="305">
        <f>IF(Eingabe!Q45="ja", ROUND(SUMIF(Tabelle76107151617[Maß-nahme],"9",Tabelle76107151617[anerkannter Betrag nach Prüfung der Endabrechnung]),2),Overview!$AA$15)</f>
        <v>0</v>
      </c>
      <c r="P29" s="305">
        <f>IF(Eingabe!Q45="ja", SUMIF(Tabelle76107151617[Maß-nahme],"9",Tabelle76107151617[aberkannter Betrag nach Prüfung der Endabrechnung])-SUMIF(Tabelle76107151617[Maß-nahme],"9",Tabelle76107151617[Betrag der Änderung der Aberkennung 
(+ entspricht Zuerkennung)]),Overview!$AA$15)</f>
        <v>0</v>
      </c>
      <c r="Q29" s="166"/>
      <c r="R29" s="166"/>
      <c r="S29" s="166"/>
      <c r="T29" s="166"/>
      <c r="U29" s="166"/>
      <c r="V29" s="166"/>
      <c r="W29" s="48"/>
    </row>
    <row r="30" spans="2:24" ht="14.15" customHeight="1" x14ac:dyDescent="0.35">
      <c r="B30" s="45"/>
      <c r="C30" s="166"/>
      <c r="D30" s="166"/>
      <c r="E30" s="166"/>
      <c r="F30" s="166"/>
      <c r="G30" s="166"/>
      <c r="H30" s="166"/>
      <c r="I30" s="160" t="str">
        <f>Eingabe!Q$18&amp;": "&amp;Eingabe!Q$19</f>
        <v>Maßnahme 10: keine</v>
      </c>
      <c r="J30" s="151">
        <f>ROUND(SUMIFS(Tabelle76107151617[Betrag (bei aliquotierten Beträgen als Formel)],Tabelle76107151617[Abrechnungs-zeitraum],"A", Tabelle76107151617[Maß-nahme], 10),2)</f>
        <v>0</v>
      </c>
      <c r="K30" s="151">
        <f>ROUND(SUMIFS(Tabelle76107151617[Betrag (bei aliquotierten Beträgen als Formel)],Tabelle76107151617[Abrechnungs-zeitraum],"B", Tabelle76107151617[Maß-nahme], 10),2)</f>
        <v>0</v>
      </c>
      <c r="L30" s="151">
        <f>ROUND(SUMIFS(Tabelle76107151617[Betrag (bei aliquotierten Beträgen als Formel)],Tabelle76107151617[Abrechnungs-zeitraum],"C", Tabelle76107151617[Maß-nahme], 10),2)</f>
        <v>0</v>
      </c>
      <c r="M30" s="151">
        <f>ROUND(SUMIFS(Tabelle76107151617[Betrag (bei aliquotierten Beträgen als Formel)],Tabelle76107151617[Abrechnungs-zeitraum],"D", Tabelle76107151617[Maß-nahme], 10),2)</f>
        <v>0</v>
      </c>
      <c r="N30" s="306">
        <f>ROUND(SUMIF(Tabelle76107151617[Maß-nahme],"10",Tabelle76107151617[Betrag (bei aliquotierten Beträgen als Formel)]),2)</f>
        <v>0</v>
      </c>
      <c r="O30" s="305">
        <f>IF(Eingabe!Q45="ja", ROUND(SUMIF(Tabelle76107151617[Maß-nahme],"10",Tabelle76107151617[anerkannter Betrag nach Prüfung der Endabrechnung]),2),Overview!$AA$15)</f>
        <v>0</v>
      </c>
      <c r="P30" s="305">
        <f>IF(Eingabe!Q45="ja", SUMIF(Tabelle76107151617[Maß-nahme],"10",Tabelle76107151617[aberkannter Betrag nach Prüfung der Endabrechnung])-SUMIF(Tabelle76107151617[Maß-nahme],"10",Tabelle76107151617[Betrag der Änderung der Aberkennung 
(+ entspricht Zuerkennung)]),Overview!$AA$15)</f>
        <v>0</v>
      </c>
      <c r="Q30" s="166"/>
      <c r="R30" s="166"/>
      <c r="S30" s="166"/>
      <c r="T30" s="166"/>
      <c r="U30" s="166"/>
      <c r="V30" s="166"/>
      <c r="W30" s="48"/>
    </row>
    <row r="31" spans="2:24" ht="14.15" customHeight="1" x14ac:dyDescent="0.35">
      <c r="B31" s="45"/>
      <c r="C31" s="166"/>
      <c r="D31" s="166"/>
      <c r="E31" s="166"/>
      <c r="F31" s="166"/>
      <c r="G31" s="166"/>
      <c r="H31" s="166"/>
      <c r="I31" s="307" t="s">
        <v>145</v>
      </c>
      <c r="J31" s="306">
        <f>ROUND(SUMIF(Tabelle76107151617[Abrechnungs-zeitraum],"A",Tabelle76107151617[Betrag (bei aliquotierten Beträgen als Formel)]),2)</f>
        <v>0</v>
      </c>
      <c r="K31" s="306">
        <f>ROUND(SUMIF(Tabelle76107151617[Abrechnungs-zeitraum],"B",Tabelle76107151617[Betrag (bei aliquotierten Beträgen als Formel)]),2)</f>
        <v>0</v>
      </c>
      <c r="L31" s="306">
        <f>ROUND(SUMIF(Tabelle76107151617[Abrechnungs-zeitraum],"C",Tabelle76107151617[Betrag (bei aliquotierten Beträgen als Formel)]),2)</f>
        <v>0</v>
      </c>
      <c r="M31" s="306">
        <f>ROUND(SUMIF(Tabelle76107151617[Abrechnungs-zeitraum],"D",Tabelle76107151617[Betrag (bei aliquotierten Beträgen als Formel)]),2)</f>
        <v>0</v>
      </c>
      <c r="N31" s="306">
        <f>SUM(N21:N30)</f>
        <v>0</v>
      </c>
      <c r="O31" s="306">
        <f>IF(Eingabe!Q45="ja", SUM(Tabelle76107151617[anerkannter Betrag nach Prüfung der Endabrechnung]),Overview!$AA$15)</f>
        <v>0</v>
      </c>
      <c r="P31" s="306">
        <f>IF(Eingabe!Q45="ja", SUM(Tabelle76107151617[aberkannter Betrag nach Prüfung der Endabrechnung])-SUM(Tabelle76107151617[Betrag der Änderung der Aberkennung 
(+ entspricht Zuerkennung)]),Overview!$AA$15)</f>
        <v>0</v>
      </c>
      <c r="Q31" s="166"/>
      <c r="R31" s="166"/>
      <c r="S31" s="166"/>
      <c r="T31" s="166"/>
      <c r="U31" s="166"/>
      <c r="V31" s="166"/>
      <c r="W31" s="48"/>
    </row>
    <row r="32" spans="2:24" ht="18.75" customHeight="1" x14ac:dyDescent="0.35">
      <c r="B32" s="55"/>
      <c r="C32" s="56"/>
      <c r="D32" s="56"/>
      <c r="E32" s="56"/>
      <c r="F32" s="56"/>
      <c r="G32" s="56"/>
      <c r="H32" s="56"/>
      <c r="I32" s="56"/>
      <c r="J32" s="56"/>
      <c r="K32" s="56"/>
      <c r="L32" s="56"/>
      <c r="M32" s="56"/>
      <c r="N32" s="56"/>
      <c r="O32" s="56"/>
      <c r="P32" s="56"/>
      <c r="Q32" s="56"/>
      <c r="R32" s="56"/>
      <c r="S32" s="56"/>
      <c r="T32" s="56"/>
      <c r="U32" s="56"/>
      <c r="V32" s="56"/>
      <c r="W32" s="57"/>
    </row>
  </sheetData>
  <sheetProtection password="FFFD" sheet="1" insertRows="0"/>
  <protectedRanges>
    <protectedRange password="CDD2" sqref="N8:N17 P8:R17 T8:U17" name="Prüfung"/>
  </protectedRanges>
  <mergeCells count="10">
    <mergeCell ref="D6:J6"/>
    <mergeCell ref="K6:L6"/>
    <mergeCell ref="N6:R6"/>
    <mergeCell ref="T6:U6"/>
    <mergeCell ref="C3:H3"/>
    <mergeCell ref="N3:Q3"/>
    <mergeCell ref="R3:S3"/>
    <mergeCell ref="T3:U3"/>
    <mergeCell ref="C5:M5"/>
    <mergeCell ref="N5:V5"/>
  </mergeCells>
  <conditionalFormatting sqref="K8:L17 N8:N17">
    <cfRule type="containsText" dxfId="28" priority="5" operator="containsText" text="j">
      <formula>NOT(ISERROR(SEARCH("j",K8)))</formula>
    </cfRule>
  </conditionalFormatting>
  <conditionalFormatting sqref="R8:R17">
    <cfRule type="containsText" dxfId="27" priority="3" operator="containsText" text="j">
      <formula>NOT(ISERROR(SEARCH("j",R8)))</formula>
    </cfRule>
  </conditionalFormatting>
  <conditionalFormatting sqref="E8:E17">
    <cfRule type="expression" dxfId="26" priority="2">
      <formula>AND(NOT(E8="a"),NOT(E8="b"),NOT(E8="c"),NOT(E8="d"),NOT(M8=0))</formula>
    </cfRule>
  </conditionalFormatting>
  <conditionalFormatting sqref="F8:F17">
    <cfRule type="expression" dxfId="25" priority="1">
      <formula>AND(NOT(F8=1),NOT(F8=2),NOT(F8=3),NOT(F8=4),NOT(F8=5),NOT(F8=6),NOT(F8=7),NOT(F8=8),NOT(F8=9),NOT(F8=10),NOT(M8=0))</formula>
    </cfRule>
  </conditionalFormatting>
  <pageMargins left="0.25" right="0.25" top="0.75" bottom="0.75" header="0.3" footer="0.3"/>
  <pageSetup paperSize="9" scale="32" fitToHeight="0"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37889648-CE67-4EC0-861D-7F2D3ED8413B}">
            <xm:f>AND(Eingabe!$Q$45="ja",L8="j",NOT(N8="j"))</xm:f>
            <x14:dxf>
              <fill>
                <patternFill>
                  <bgColor theme="5" tint="0.59996337778862885"/>
                </patternFill>
              </fill>
            </x14:dxf>
          </x14:cfRule>
          <xm:sqref>N8:N17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2:AF210"/>
  <sheetViews>
    <sheetView showGridLines="0" tabSelected="1" zoomScaleNormal="100" workbookViewId="0">
      <selection activeCell="D6" sqref="D6:M6"/>
    </sheetView>
  </sheetViews>
  <sheetFormatPr baseColWidth="10" defaultColWidth="11.453125" defaultRowHeight="13" x14ac:dyDescent="0.35"/>
  <cols>
    <col min="1" max="2" width="2.54296875" style="44" customWidth="1"/>
    <col min="3" max="3" width="22.54296875" style="44" customWidth="1"/>
    <col min="4" max="4" width="11.54296875" style="44" customWidth="1"/>
    <col min="5" max="5" width="15.90625" style="44" customWidth="1"/>
    <col min="6" max="6" width="11.54296875" style="250" customWidth="1"/>
    <col min="7" max="7" width="1.54296875" style="250" customWidth="1"/>
    <col min="8" max="8" width="15.90625" style="44" customWidth="1"/>
    <col min="9" max="11" width="15.90625" style="250" customWidth="1"/>
    <col min="12" max="12" width="16.6328125" style="250" customWidth="1"/>
    <col min="13" max="13" width="8.90625" style="44" customWidth="1"/>
    <col min="14" max="14" width="1.90625" style="44" customWidth="1"/>
    <col min="15" max="16" width="16.90625" style="44" customWidth="1"/>
    <col min="17" max="17" width="1.90625" style="44" customWidth="1"/>
    <col min="18" max="21" width="16.90625" style="44" customWidth="1"/>
    <col min="22" max="22" width="18.453125" style="44" customWidth="1"/>
    <col min="23" max="23" width="2.90625" style="44" customWidth="1"/>
    <col min="24" max="24" width="16.453125" style="44" customWidth="1"/>
    <col min="25" max="25" width="2.54296875" style="44" bestFit="1" customWidth="1"/>
    <col min="26" max="26" width="10.08984375" style="44" bestFit="1" customWidth="1"/>
    <col min="27" max="27" width="67.90625" style="239" bestFit="1" customWidth="1"/>
    <col min="28" max="28" width="14.453125" style="239" customWidth="1"/>
    <col min="29" max="30" width="11.453125" style="239" customWidth="1"/>
    <col min="31" max="31" width="11.453125" style="239"/>
    <col min="32" max="16384" width="11.453125" style="44"/>
  </cols>
  <sheetData>
    <row r="2" spans="2:31" ht="21.75" customHeight="1" x14ac:dyDescent="0.35">
      <c r="B2" s="40"/>
      <c r="C2" s="41"/>
      <c r="D2" s="41"/>
      <c r="E2" s="41"/>
      <c r="F2" s="179"/>
      <c r="G2" s="179"/>
      <c r="H2" s="41"/>
      <c r="I2" s="179"/>
      <c r="J2" s="179"/>
      <c r="K2" s="179"/>
      <c r="L2" s="179"/>
      <c r="M2" s="41"/>
      <c r="N2" s="41"/>
      <c r="O2" s="41"/>
      <c r="P2" s="41"/>
      <c r="Q2" s="41"/>
      <c r="R2" s="41"/>
      <c r="S2" s="41"/>
      <c r="T2" s="41"/>
      <c r="U2" s="41"/>
      <c r="V2" s="41"/>
      <c r="W2" s="43"/>
    </row>
    <row r="3" spans="2:31" ht="33.75" customHeight="1" x14ac:dyDescent="0.35">
      <c r="B3" s="45"/>
      <c r="C3" s="523" t="s">
        <v>213</v>
      </c>
      <c r="D3" s="523"/>
      <c r="E3" s="523"/>
      <c r="F3" s="523"/>
      <c r="G3" s="523"/>
      <c r="H3" s="523"/>
      <c r="I3" s="523"/>
      <c r="J3" s="180"/>
      <c r="K3" s="180"/>
      <c r="L3" s="180"/>
      <c r="M3" s="169"/>
      <c r="N3" s="169"/>
      <c r="O3" s="169"/>
      <c r="P3" s="169"/>
      <c r="Q3" s="169"/>
      <c r="R3" s="526" t="s">
        <v>76</v>
      </c>
      <c r="S3" s="526"/>
      <c r="T3" s="526"/>
      <c r="U3" s="526"/>
      <c r="V3" s="527"/>
      <c r="W3" s="48"/>
    </row>
    <row r="4" spans="2:31" ht="12.75" customHeight="1" x14ac:dyDescent="0.35">
      <c r="B4" s="45"/>
      <c r="C4" s="169"/>
      <c r="D4" s="169"/>
      <c r="E4" s="169"/>
      <c r="F4" s="141"/>
      <c r="G4" s="141"/>
      <c r="H4" s="169"/>
      <c r="I4" s="141"/>
      <c r="J4" s="141"/>
      <c r="K4" s="141"/>
      <c r="L4" s="141"/>
      <c r="M4" s="169"/>
      <c r="N4" s="169"/>
      <c r="O4" s="169"/>
      <c r="P4" s="169"/>
      <c r="Q4" s="169"/>
      <c r="R4" s="169"/>
      <c r="S4" s="169"/>
      <c r="T4" s="169"/>
      <c r="U4" s="169"/>
      <c r="V4" s="169"/>
      <c r="W4" s="48"/>
    </row>
    <row r="5" spans="2:31" ht="15" customHeight="1" x14ac:dyDescent="0.35">
      <c r="B5" s="45"/>
      <c r="C5" s="539" t="s">
        <v>30</v>
      </c>
      <c r="D5" s="540"/>
      <c r="E5" s="540"/>
      <c r="F5" s="540"/>
      <c r="G5" s="540"/>
      <c r="H5" s="540"/>
      <c r="I5" s="540"/>
      <c r="J5" s="540"/>
      <c r="K5" s="540"/>
      <c r="L5" s="540"/>
      <c r="M5" s="540"/>
      <c r="N5" s="169"/>
      <c r="O5" s="169"/>
      <c r="P5" s="169"/>
      <c r="Q5" s="169"/>
      <c r="R5" s="531" t="s">
        <v>42</v>
      </c>
      <c r="S5" s="532"/>
      <c r="T5" s="532"/>
      <c r="U5" s="532"/>
      <c r="V5" s="533"/>
      <c r="W5" s="48"/>
    </row>
    <row r="6" spans="2:31" ht="12.75" customHeight="1" x14ac:dyDescent="0.35">
      <c r="B6" s="45"/>
      <c r="C6" s="160" t="str">
        <f>Eingabe!C6</f>
        <v>Projektträger/in</v>
      </c>
      <c r="D6" s="538">
        <f>Eingabe!D6</f>
        <v>0</v>
      </c>
      <c r="E6" s="538"/>
      <c r="F6" s="538"/>
      <c r="G6" s="538"/>
      <c r="H6" s="538"/>
      <c r="I6" s="538"/>
      <c r="J6" s="538"/>
      <c r="K6" s="538"/>
      <c r="L6" s="538"/>
      <c r="M6" s="538"/>
      <c r="N6" s="169"/>
      <c r="O6" s="169"/>
      <c r="P6" s="169"/>
      <c r="Q6" s="169"/>
      <c r="R6" s="528" t="s">
        <v>155</v>
      </c>
      <c r="S6" s="529"/>
      <c r="T6" s="534">
        <f>Eingabe!D43</f>
        <v>0</v>
      </c>
      <c r="U6" s="535"/>
      <c r="V6" s="536"/>
      <c r="W6" s="48"/>
    </row>
    <row r="7" spans="2:31" ht="12.75" customHeight="1" x14ac:dyDescent="0.35">
      <c r="B7" s="45"/>
      <c r="C7" s="160" t="str">
        <f>Eingabe!C7</f>
        <v>Projekttitel</v>
      </c>
      <c r="D7" s="538">
        <f>Eingabe!D7</f>
        <v>0</v>
      </c>
      <c r="E7" s="538"/>
      <c r="F7" s="538"/>
      <c r="G7" s="538"/>
      <c r="H7" s="538"/>
      <c r="I7" s="538"/>
      <c r="J7" s="538"/>
      <c r="K7" s="538"/>
      <c r="L7" s="538"/>
      <c r="M7" s="538"/>
      <c r="N7" s="169"/>
      <c r="O7" s="169"/>
      <c r="P7" s="169"/>
      <c r="Q7" s="169"/>
      <c r="R7" s="424" t="s">
        <v>214</v>
      </c>
      <c r="S7" s="500"/>
      <c r="T7" s="500"/>
      <c r="U7" s="500"/>
      <c r="V7" s="425"/>
      <c r="W7" s="48"/>
      <c r="AA7" s="44"/>
      <c r="AB7" s="44"/>
      <c r="AC7" s="44"/>
      <c r="AD7" s="44"/>
      <c r="AE7" s="44"/>
    </row>
    <row r="8" spans="2:31" ht="12.75" customHeight="1" x14ac:dyDescent="0.3">
      <c r="B8" s="45"/>
      <c r="C8" s="160" t="str">
        <f>Eingabe!C8</f>
        <v>Projektnummer</v>
      </c>
      <c r="D8" s="538" t="str">
        <f>Eingabe!D8</f>
        <v>xxx-2022/23</v>
      </c>
      <c r="E8" s="538"/>
      <c r="F8" s="538"/>
      <c r="G8" s="538"/>
      <c r="H8" s="538"/>
      <c r="I8" s="538"/>
      <c r="J8" s="538"/>
      <c r="K8" s="538"/>
      <c r="L8" s="538"/>
      <c r="M8" s="538"/>
      <c r="N8" s="169"/>
      <c r="O8" s="169"/>
      <c r="P8" s="169"/>
      <c r="Q8" s="169"/>
      <c r="R8" s="530"/>
      <c r="S8" s="530"/>
      <c r="T8" s="537"/>
      <c r="U8" s="537"/>
      <c r="V8" s="537"/>
      <c r="W8" s="48"/>
      <c r="AA8" s="44"/>
      <c r="AB8" s="44"/>
      <c r="AC8" s="44"/>
      <c r="AD8" s="44"/>
      <c r="AE8" s="44"/>
    </row>
    <row r="9" spans="2:31" ht="12.75" customHeight="1" x14ac:dyDescent="0.3">
      <c r="B9" s="45"/>
      <c r="C9" s="160" t="str">
        <f>Eingabe!C9</f>
        <v>Vertragsnummer</v>
      </c>
      <c r="D9" s="538" t="str">
        <f>Eingabe!D9</f>
        <v>Ist auf der ersten Seite des Fördervertrags zu finden (z.B. 12ABNAT345C-678/90XY)</v>
      </c>
      <c r="E9" s="538"/>
      <c r="F9" s="538"/>
      <c r="G9" s="538"/>
      <c r="H9" s="538"/>
      <c r="I9" s="538"/>
      <c r="J9" s="538"/>
      <c r="K9" s="538"/>
      <c r="L9" s="538"/>
      <c r="M9" s="538"/>
      <c r="N9" s="169"/>
      <c r="O9" s="169"/>
      <c r="P9" s="169"/>
      <c r="Q9" s="169"/>
      <c r="R9" s="530"/>
      <c r="S9" s="530"/>
      <c r="T9" s="537"/>
      <c r="U9" s="537"/>
      <c r="V9" s="537"/>
      <c r="W9" s="48"/>
      <c r="AA9" s="44"/>
      <c r="AB9" s="44"/>
      <c r="AC9" s="44"/>
      <c r="AD9" s="44"/>
      <c r="AE9" s="44"/>
    </row>
    <row r="10" spans="2:31" ht="12.75" customHeight="1" x14ac:dyDescent="0.3">
      <c r="B10" s="45"/>
      <c r="C10" s="160" t="str">
        <f>Eingabe!C10</f>
        <v>Laufzeit Beginn</v>
      </c>
      <c r="D10" s="551">
        <f>Eingabe!D10</f>
        <v>44562</v>
      </c>
      <c r="E10" s="538"/>
      <c r="F10" s="538"/>
      <c r="G10" s="538"/>
      <c r="H10" s="524" t="s">
        <v>84</v>
      </c>
      <c r="I10" s="524"/>
      <c r="J10" s="551">
        <f>Eingabe!J10</f>
        <v>44562</v>
      </c>
      <c r="K10" s="551"/>
      <c r="L10" s="551"/>
      <c r="M10" s="551"/>
      <c r="N10" s="169"/>
      <c r="O10" s="169"/>
      <c r="P10" s="169"/>
      <c r="Q10" s="169"/>
      <c r="R10" s="530"/>
      <c r="S10" s="530"/>
      <c r="T10" s="537"/>
      <c r="U10" s="537"/>
      <c r="V10" s="537"/>
      <c r="W10" s="48"/>
      <c r="Y10" s="238"/>
      <c r="Z10" s="238"/>
      <c r="AA10" s="238" t="s">
        <v>206</v>
      </c>
      <c r="AB10" s="238"/>
      <c r="AC10" s="44"/>
      <c r="AD10" s="44"/>
      <c r="AE10" s="44"/>
    </row>
    <row r="11" spans="2:31" ht="12.75" customHeight="1" x14ac:dyDescent="0.3">
      <c r="B11" s="45"/>
      <c r="C11" s="160" t="str">
        <f>Eingabe!C11</f>
        <v>Laufzeit Ende</v>
      </c>
      <c r="D11" s="551">
        <f>Eingabe!D11</f>
        <v>45291</v>
      </c>
      <c r="E11" s="538"/>
      <c r="F11" s="538"/>
      <c r="G11" s="538"/>
      <c r="H11" s="524" t="s">
        <v>85</v>
      </c>
      <c r="I11" s="524"/>
      <c r="J11" s="551">
        <f>Eingabe!J11</f>
        <v>44742</v>
      </c>
      <c r="K11" s="551"/>
      <c r="L11" s="551"/>
      <c r="M11" s="551"/>
      <c r="N11" s="169"/>
      <c r="O11" s="169"/>
      <c r="P11" s="169"/>
      <c r="Q11" s="169"/>
      <c r="R11" s="530"/>
      <c r="S11" s="530"/>
      <c r="T11" s="537"/>
      <c r="U11" s="537"/>
      <c r="V11" s="537"/>
      <c r="W11" s="48"/>
      <c r="Y11" s="238"/>
      <c r="Z11" s="238"/>
      <c r="AA11" s="238">
        <v>800</v>
      </c>
      <c r="AB11" s="238"/>
      <c r="AC11" s="44"/>
      <c r="AD11" s="44"/>
      <c r="AE11" s="44"/>
    </row>
    <row r="12" spans="2:31" ht="12.75" customHeight="1" x14ac:dyDescent="0.3">
      <c r="B12" s="45"/>
      <c r="C12" s="160" t="str">
        <f>Eingabe!C12</f>
        <v>Projektdauer in Monaten</v>
      </c>
      <c r="D12" s="469">
        <f>Eingabe!D12</f>
        <v>24.3</v>
      </c>
      <c r="E12" s="470"/>
      <c r="F12" s="470"/>
      <c r="G12" s="470"/>
      <c r="H12" s="524" t="s">
        <v>83</v>
      </c>
      <c r="I12" s="524"/>
      <c r="J12" s="548">
        <f>Eingabe!J12</f>
        <v>0.24691358024691357</v>
      </c>
      <c r="K12" s="549"/>
      <c r="L12" s="549"/>
      <c r="M12" s="550"/>
      <c r="N12" s="169"/>
      <c r="O12" s="169"/>
      <c r="P12" s="169"/>
      <c r="Q12" s="169"/>
      <c r="R12" s="182"/>
      <c r="S12" s="182"/>
      <c r="T12" s="183"/>
      <c r="U12" s="183"/>
      <c r="V12" s="183"/>
      <c r="W12" s="48"/>
      <c r="Y12" s="238"/>
      <c r="Z12" s="238"/>
      <c r="AA12" s="238"/>
      <c r="AB12" s="238"/>
      <c r="AC12" s="44"/>
      <c r="AD12" s="44"/>
      <c r="AE12" s="44"/>
    </row>
    <row r="13" spans="2:31" ht="12.65" customHeight="1" x14ac:dyDescent="0.3">
      <c r="B13" s="45"/>
      <c r="C13" s="524" t="str">
        <f>Eingabe!C14</f>
        <v>Wird dem Projekt die Umsatzsteuer verrechnet? (wenn ja, ist eine Bestätigung mit dem Endbericht digital und physisch vorzulegen)</v>
      </c>
      <c r="D13" s="524"/>
      <c r="E13" s="524"/>
      <c r="F13" s="524"/>
      <c r="G13" s="524"/>
      <c r="H13" s="524"/>
      <c r="I13" s="524"/>
      <c r="J13" s="538" t="str">
        <f>Eingabe!J14</f>
        <v>ja/nein</v>
      </c>
      <c r="K13" s="538"/>
      <c r="L13" s="538"/>
      <c r="M13" s="538"/>
      <c r="N13" s="169"/>
      <c r="O13" s="169"/>
      <c r="P13" s="169"/>
      <c r="Q13" s="169"/>
      <c r="R13" s="182"/>
      <c r="S13" s="182"/>
      <c r="T13" s="183"/>
      <c r="U13" s="183"/>
      <c r="V13" s="183"/>
      <c r="W13" s="48"/>
      <c r="Y13" s="238"/>
      <c r="Z13" s="238"/>
      <c r="AA13" s="238"/>
      <c r="AB13" s="238"/>
      <c r="AC13" s="44"/>
      <c r="AD13" s="44"/>
      <c r="AE13" s="44"/>
    </row>
    <row r="14" spans="2:31" ht="12.75" customHeight="1" x14ac:dyDescent="0.35">
      <c r="B14" s="45"/>
      <c r="C14" s="169"/>
      <c r="D14" s="169"/>
      <c r="E14" s="169"/>
      <c r="F14" s="141"/>
      <c r="G14" s="141"/>
      <c r="H14" s="169"/>
      <c r="I14" s="141"/>
      <c r="J14" s="141"/>
      <c r="K14" s="141"/>
      <c r="L14" s="169"/>
      <c r="M14" s="169"/>
      <c r="N14" s="169"/>
      <c r="O14" s="169"/>
      <c r="P14" s="169"/>
      <c r="Q14" s="181"/>
      <c r="R14" s="181"/>
      <c r="S14" s="181"/>
      <c r="T14" s="184"/>
      <c r="U14" s="184"/>
      <c r="V14" s="184"/>
      <c r="W14" s="48"/>
      <c r="Y14" s="238"/>
      <c r="Z14" s="238"/>
      <c r="AA14" s="238" t="s">
        <v>184</v>
      </c>
      <c r="AB14" s="238"/>
      <c r="AC14" s="44"/>
      <c r="AD14" s="44"/>
      <c r="AE14" s="44"/>
    </row>
    <row r="15" spans="2:31" ht="12.75" customHeight="1" x14ac:dyDescent="0.35">
      <c r="B15" s="45"/>
      <c r="C15" s="169"/>
      <c r="D15" s="169"/>
      <c r="E15" s="169"/>
      <c r="F15" s="141"/>
      <c r="G15" s="141"/>
      <c r="H15" s="47"/>
      <c r="I15" s="185"/>
      <c r="J15" s="141"/>
      <c r="K15" s="185"/>
      <c r="L15" s="169"/>
      <c r="M15" s="169"/>
      <c r="N15" s="169"/>
      <c r="O15" s="554" t="s">
        <v>105</v>
      </c>
      <c r="P15" s="555"/>
      <c r="Q15" s="181"/>
      <c r="R15" s="525"/>
      <c r="S15" s="525"/>
      <c r="T15" s="525"/>
      <c r="U15" s="525"/>
      <c r="V15" s="525"/>
      <c r="W15" s="48"/>
      <c r="Y15" s="238"/>
      <c r="Z15" s="238"/>
      <c r="AA15" s="238">
        <v>0</v>
      </c>
      <c r="AB15" s="238"/>
      <c r="AC15" s="44"/>
      <c r="AD15" s="44"/>
      <c r="AE15" s="44"/>
    </row>
    <row r="16" spans="2:31" ht="48" x14ac:dyDescent="0.35">
      <c r="B16" s="45"/>
      <c r="C16" s="531" t="s">
        <v>28</v>
      </c>
      <c r="D16" s="532"/>
      <c r="E16" s="186" t="s">
        <v>23</v>
      </c>
      <c r="F16" s="187" t="s">
        <v>22</v>
      </c>
      <c r="G16" s="188"/>
      <c r="H16" s="186" t="s">
        <v>109</v>
      </c>
      <c r="I16" s="186" t="s">
        <v>110</v>
      </c>
      <c r="J16" s="186" t="s">
        <v>111</v>
      </c>
      <c r="K16" s="186" t="s">
        <v>112</v>
      </c>
      <c r="L16" s="186" t="s">
        <v>113</v>
      </c>
      <c r="M16" s="189" t="s">
        <v>43</v>
      </c>
      <c r="N16" s="47"/>
      <c r="O16" s="187" t="s">
        <v>50</v>
      </c>
      <c r="P16" s="190" t="s">
        <v>60</v>
      </c>
      <c r="Q16" s="191"/>
      <c r="R16" s="192" t="s">
        <v>156</v>
      </c>
      <c r="S16" s="193" t="s">
        <v>157</v>
      </c>
      <c r="T16" s="194" t="s">
        <v>63</v>
      </c>
      <c r="U16" s="195" t="s">
        <v>158</v>
      </c>
      <c r="V16" s="195" t="s">
        <v>51</v>
      </c>
      <c r="W16" s="48"/>
      <c r="Y16" s="238"/>
      <c r="Z16" s="238"/>
      <c r="AA16" s="238"/>
      <c r="AB16" s="238"/>
      <c r="AC16" s="44"/>
      <c r="AD16" s="44"/>
      <c r="AE16" s="44"/>
    </row>
    <row r="17" spans="1:32" ht="15" customHeight="1" x14ac:dyDescent="0.35">
      <c r="B17" s="45"/>
      <c r="C17" s="547" t="s">
        <v>27</v>
      </c>
      <c r="D17" s="478"/>
      <c r="E17" s="223">
        <f>Eingabe!F20</f>
        <v>0</v>
      </c>
      <c r="F17" s="120">
        <f t="shared" ref="F17:F23" si="0">IF($E$28=0,0,E17/$E$28)</f>
        <v>0</v>
      </c>
      <c r="G17" s="196"/>
      <c r="H17" s="223">
        <f t="shared" ref="H17:K17" si="1">SUM(H18,H21,H22)</f>
        <v>0</v>
      </c>
      <c r="I17" s="223">
        <f t="shared" si="1"/>
        <v>0</v>
      </c>
      <c r="J17" s="223">
        <f t="shared" si="1"/>
        <v>0</v>
      </c>
      <c r="K17" s="223">
        <f t="shared" si="1"/>
        <v>0</v>
      </c>
      <c r="L17" s="223">
        <f>SUM(L18,L21,L22)</f>
        <v>0</v>
      </c>
      <c r="M17" s="197">
        <f t="shared" ref="M17:M28" si="2">IF(E17=0,0,L17/E17)</f>
        <v>0</v>
      </c>
      <c r="N17" s="47"/>
      <c r="O17" s="217">
        <f>SUM(O18,O21,O22)</f>
        <v>0</v>
      </c>
      <c r="P17" s="311">
        <f>IF(E17=0,0,IF(L17=0,0,O17/IF(L17/E17&gt;1.2,E17*1.2,L17)/F$31))</f>
        <v>0</v>
      </c>
      <c r="Q17" s="199"/>
      <c r="R17" s="200">
        <f>IF(Eingabe!Q45="ja", SUM(R18+R21+R22), $AA$15)</f>
        <v>0</v>
      </c>
      <c r="S17" s="201">
        <f>IF(Eingabe!Q45="ja",SUM(S18+S21+S22),$AA$15)</f>
        <v>0</v>
      </c>
      <c r="T17" s="202">
        <f>IF(Eingabe!Q45="ja",SUM(T18+T21+T22),$AA$15)</f>
        <v>0</v>
      </c>
      <c r="U17" s="202">
        <f>IF(Eingabe!Q45="ja",SUM(U18+U21+U22),$AA$15)</f>
        <v>0</v>
      </c>
      <c r="V17" s="202">
        <f>IF(Eingabe!Q45="ja",SUM(V18+V21+V22),$AA$15)</f>
        <v>0</v>
      </c>
      <c r="W17" s="48"/>
      <c r="Y17" s="238"/>
      <c r="Z17" s="238"/>
      <c r="AA17" s="238"/>
      <c r="AB17" s="238"/>
      <c r="AC17" s="44"/>
      <c r="AD17" s="44"/>
      <c r="AE17" s="44"/>
    </row>
    <row r="18" spans="1:32" ht="12.75" customHeight="1" x14ac:dyDescent="0.35">
      <c r="B18" s="45"/>
      <c r="C18" s="546" t="s">
        <v>6</v>
      </c>
      <c r="D18" s="481"/>
      <c r="E18" s="203">
        <f>Eingabe!F21</f>
        <v>0</v>
      </c>
      <c r="F18" s="121">
        <f t="shared" si="0"/>
        <v>0</v>
      </c>
      <c r="G18" s="204"/>
      <c r="H18" s="203">
        <f t="shared" ref="H18:K18" si="3">SUBTOTAL(9,H19:H20)</f>
        <v>0</v>
      </c>
      <c r="I18" s="203">
        <f t="shared" si="3"/>
        <v>0</v>
      </c>
      <c r="J18" s="203">
        <f t="shared" si="3"/>
        <v>0</v>
      </c>
      <c r="K18" s="203">
        <f t="shared" si="3"/>
        <v>0</v>
      </c>
      <c r="L18" s="203">
        <f>SUBTOTAL(9,L19:L20)</f>
        <v>0</v>
      </c>
      <c r="M18" s="205">
        <f t="shared" si="2"/>
        <v>0</v>
      </c>
      <c r="N18" s="47"/>
      <c r="O18" s="206">
        <f>SUBTOTAL(9,O19:O20)</f>
        <v>0</v>
      </c>
      <c r="P18" s="310">
        <f t="shared" ref="P18:P28" si="4">IF(E18=0,0,IF(L18=0,0,O18/IF(L18/E18&gt;1.2,E18*1.2,L18)/F$31))</f>
        <v>0</v>
      </c>
      <c r="Q18" s="199"/>
      <c r="R18" s="208">
        <f>IF(Eingabe!Q45="ja", R19+R20, $AA$15)</f>
        <v>0</v>
      </c>
      <c r="S18" s="208">
        <f>IF(Eingabe!Q45="ja",S19+S20,$AA$15)</f>
        <v>0</v>
      </c>
      <c r="T18" s="209">
        <f>IF(Eingabe!Q45="ja",IF(L18-S18=U18,0,L18-S18-U18),$AA$15)</f>
        <v>0</v>
      </c>
      <c r="U18" s="209">
        <f>IF(Eingabe!Q45="ja",IF((L18-S18)&gt;E18*1.2,E18*1.2,L18-S18),$AA$15)</f>
        <v>0</v>
      </c>
      <c r="V18" s="209">
        <f>IF(Eingabe!Q45="ja",V19+V20,$AA$15)</f>
        <v>0</v>
      </c>
      <c r="W18" s="48"/>
      <c r="Y18" s="238"/>
      <c r="Z18" s="238"/>
      <c r="AA18" s="238"/>
      <c r="AB18" s="238"/>
      <c r="AC18" s="44"/>
      <c r="AD18" s="44"/>
      <c r="AE18" s="44"/>
    </row>
    <row r="19" spans="1:32" ht="12.75" customHeight="1" x14ac:dyDescent="0.35">
      <c r="B19" s="45"/>
      <c r="C19" s="543" t="s">
        <v>26</v>
      </c>
      <c r="D19" s="497"/>
      <c r="E19" s="106">
        <f>Eingabe!F22</f>
        <v>0</v>
      </c>
      <c r="F19" s="121">
        <f t="shared" si="0"/>
        <v>0</v>
      </c>
      <c r="G19" s="204"/>
      <c r="H19" s="106">
        <f>'a.1) Angestellte'!R31</f>
        <v>0</v>
      </c>
      <c r="I19" s="106">
        <f>'a.1) Angestellte'!S31</f>
        <v>0</v>
      </c>
      <c r="J19" s="106">
        <f>'a.1) Angestellte'!T31</f>
        <v>0</v>
      </c>
      <c r="K19" s="106">
        <f>'a.1) Angestellte'!U31</f>
        <v>0</v>
      </c>
      <c r="L19" s="106">
        <f>SUM(H19:K19)</f>
        <v>0</v>
      </c>
      <c r="M19" s="210">
        <f t="shared" si="2"/>
        <v>0</v>
      </c>
      <c r="N19" s="47"/>
      <c r="O19" s="211">
        <f>'a.1) Angestellte'!O18</f>
        <v>0</v>
      </c>
      <c r="P19" s="274">
        <f t="shared" si="4"/>
        <v>0</v>
      </c>
      <c r="Q19" s="213"/>
      <c r="R19" s="214">
        <f>IF(Eingabe!Q45="ja", 'a.1) Angestellte'!W31, $AA$15)</f>
        <v>0</v>
      </c>
      <c r="S19" s="214">
        <f>IF(Eingabe!Q45="ja",'a.1) Angestellte'!X31,$AA$15)</f>
        <v>0</v>
      </c>
      <c r="T19" s="215">
        <f>IF(Eingabe!Q45="ja",IF(T18-T20&gt;0,T18-T20,0),$AA$15)</f>
        <v>0</v>
      </c>
      <c r="U19" s="215">
        <f>IF(Eingabe!Q45="ja",L19-S19-T19,$AA$15)</f>
        <v>0</v>
      </c>
      <c r="V19" s="215">
        <f>IF(Eingabe!Q45="ja",'a.1) Angestellte'!W18,$AA$15)</f>
        <v>0</v>
      </c>
      <c r="W19" s="48"/>
      <c r="Y19" s="238"/>
      <c r="Z19" s="238"/>
      <c r="AA19" s="238" t="s">
        <v>173</v>
      </c>
      <c r="AB19" s="238"/>
      <c r="AC19" s="44"/>
      <c r="AD19" s="44"/>
      <c r="AE19" s="44"/>
    </row>
    <row r="20" spans="1:32" ht="12.75" customHeight="1" x14ac:dyDescent="0.35">
      <c r="B20" s="45"/>
      <c r="C20" s="543" t="s">
        <v>103</v>
      </c>
      <c r="D20" s="497"/>
      <c r="E20" s="106">
        <f>Eingabe!F23</f>
        <v>0</v>
      </c>
      <c r="F20" s="121">
        <f t="shared" si="0"/>
        <v>0</v>
      </c>
      <c r="G20" s="204"/>
      <c r="H20" s="106">
        <f>'a.2) Freie DN'!R31</f>
        <v>0</v>
      </c>
      <c r="I20" s="106">
        <f>'a.2) Freie DN'!S31</f>
        <v>0</v>
      </c>
      <c r="J20" s="106">
        <f>'a.2) Freie DN'!T31</f>
        <v>0</v>
      </c>
      <c r="K20" s="106">
        <f>'a.2) Freie DN'!U31</f>
        <v>0</v>
      </c>
      <c r="L20" s="106">
        <f>SUM(H20:K20)</f>
        <v>0</v>
      </c>
      <c r="M20" s="210">
        <f t="shared" si="2"/>
        <v>0</v>
      </c>
      <c r="N20" s="47"/>
      <c r="O20" s="211">
        <f>'a.2) Freie DN'!O18</f>
        <v>0</v>
      </c>
      <c r="P20" s="274">
        <f t="shared" si="4"/>
        <v>0</v>
      </c>
      <c r="Q20" s="213"/>
      <c r="R20" s="214">
        <f>IF(Eingabe!Q45="ja", 'a.2) Freie DN'!T31, $AA$15)</f>
        <v>0</v>
      </c>
      <c r="S20" s="214">
        <f>IF(Eingabe!Q45="ja",'a.2) Freie DN'!X31,$AA$15)</f>
        <v>0</v>
      </c>
      <c r="T20" s="215">
        <f>IF(Eingabe!Q45="ja",IF(T18&gt;0,IF(L20-S20&gt;1.2*E20,IF(L20-1.2*E20&lt;T18,L20-1.2*E20-S20,T18),0),0),$AA$15)</f>
        <v>0</v>
      </c>
      <c r="U20" s="215">
        <f>IF(Eingabe!Q45="ja",L20-S20-T20,$AA$15)</f>
        <v>0</v>
      </c>
      <c r="V20" s="215">
        <f>IF(Eingabe!Q45="ja",'a.2) Freie DN'!W18,$AA$15)</f>
        <v>0</v>
      </c>
      <c r="W20" s="48"/>
      <c r="Y20" s="238" t="s">
        <v>0</v>
      </c>
      <c r="Z20" s="238"/>
      <c r="AA20" s="238" t="s">
        <v>178</v>
      </c>
      <c r="AB20" s="373">
        <f>U17*Z20/100</f>
        <v>0</v>
      </c>
      <c r="AC20" s="44"/>
      <c r="AD20" s="44"/>
      <c r="AE20" s="44"/>
    </row>
    <row r="21" spans="1:32" ht="12.75" customHeight="1" x14ac:dyDescent="0.35">
      <c r="B21" s="45"/>
      <c r="C21" s="424" t="s">
        <v>15</v>
      </c>
      <c r="D21" s="500"/>
      <c r="E21" s="216">
        <f>Eingabe!F24</f>
        <v>0</v>
      </c>
      <c r="F21" s="122">
        <f t="shared" si="0"/>
        <v>0</v>
      </c>
      <c r="G21" s="204"/>
      <c r="H21" s="216">
        <f>'b) Reisekosten'!J31</f>
        <v>0</v>
      </c>
      <c r="I21" s="216">
        <f>'b) Reisekosten'!K31</f>
        <v>0</v>
      </c>
      <c r="J21" s="216">
        <f>'b) Reisekosten'!L31</f>
        <v>0</v>
      </c>
      <c r="K21" s="216">
        <f>'b) Reisekosten'!M31</f>
        <v>0</v>
      </c>
      <c r="L21" s="216">
        <f>SUM(H21:K21)</f>
        <v>0</v>
      </c>
      <c r="M21" s="197">
        <f t="shared" si="2"/>
        <v>0</v>
      </c>
      <c r="N21" s="47"/>
      <c r="O21" s="217">
        <f>'b) Reisekosten'!L18</f>
        <v>0</v>
      </c>
      <c r="P21" s="311">
        <f t="shared" si="4"/>
        <v>0</v>
      </c>
      <c r="Q21" s="199"/>
      <c r="R21" s="218">
        <f>IF(Eingabe!Q45="ja", 'b) Reisekosten'!O31, $AA$15)</f>
        <v>0</v>
      </c>
      <c r="S21" s="218">
        <f>IF(Eingabe!Q45="ja",'b) Reisekosten'!P31,$AA$15)</f>
        <v>0</v>
      </c>
      <c r="T21" s="219">
        <f>IF(Eingabe!Q45="ja",IF(L21-S21=U21,0,L21-S21-U21),$AA$15)</f>
        <v>0</v>
      </c>
      <c r="U21" s="219">
        <f>IF(Eingabe!Q45="ja",IF((L21-S21)&gt;E21*1.2,E21*1.2,L21-S21),$AA$15)</f>
        <v>0</v>
      </c>
      <c r="V21" s="219">
        <f>IF(Eingabe!Q45="ja",'b) Reisekosten'!N18,$AA$15)</f>
        <v>0</v>
      </c>
      <c r="W21" s="48"/>
      <c r="Y21" s="238" t="s">
        <v>1</v>
      </c>
      <c r="Z21" s="238"/>
      <c r="AA21" s="238" t="s">
        <v>179</v>
      </c>
      <c r="AB21" s="373">
        <f>U18*Z21/100</f>
        <v>0</v>
      </c>
      <c r="AC21" s="44"/>
      <c r="AD21" s="44"/>
      <c r="AE21" s="44"/>
    </row>
    <row r="22" spans="1:32" ht="12.75" customHeight="1" x14ac:dyDescent="0.35">
      <c r="B22" s="45"/>
      <c r="C22" s="546" t="s">
        <v>16</v>
      </c>
      <c r="D22" s="481"/>
      <c r="E22" s="203">
        <f>Eingabe!F25</f>
        <v>0</v>
      </c>
      <c r="F22" s="121">
        <f t="shared" si="0"/>
        <v>0</v>
      </c>
      <c r="G22" s="204"/>
      <c r="H22" s="203">
        <f>SUM(H23:H26)</f>
        <v>0</v>
      </c>
      <c r="I22" s="203">
        <f t="shared" ref="I22:K22" si="5">SUM(I23:I26)</f>
        <v>0</v>
      </c>
      <c r="J22" s="203">
        <f t="shared" si="5"/>
        <v>0</v>
      </c>
      <c r="K22" s="203">
        <f t="shared" si="5"/>
        <v>0</v>
      </c>
      <c r="L22" s="203">
        <f t="shared" ref="L22:L27" si="6">SUM(H22:K22)</f>
        <v>0</v>
      </c>
      <c r="M22" s="205">
        <f t="shared" si="2"/>
        <v>0</v>
      </c>
      <c r="N22" s="47"/>
      <c r="O22" s="206">
        <f>O23+O24+O25+O26</f>
        <v>0</v>
      </c>
      <c r="P22" s="310">
        <f t="shared" si="4"/>
        <v>0</v>
      </c>
      <c r="Q22" s="199"/>
      <c r="R22" s="308">
        <f>IF(Eingabe!Q45="ja", R23+R24+R25+R26, $AA$15)</f>
        <v>0</v>
      </c>
      <c r="S22" s="308">
        <f>IF(Eingabe!Q45="ja",S23+S24+S25+S26,$AA$15)</f>
        <v>0</v>
      </c>
      <c r="T22" s="209">
        <f>IF(Eingabe!Q45="ja",IF(L22-S22=U22,0,L22-S22-U22),$AA$15)</f>
        <v>0</v>
      </c>
      <c r="U22" s="209">
        <f>IF(Eingabe!Q45="ja",IF((L22-S22)&gt;E22*1.2,E22*1.2,L22-S22),$AA$15)</f>
        <v>0</v>
      </c>
      <c r="V22" s="209">
        <f>IF(Eingabe!Q45="ja",SUM(V23:V26),$AA$15)</f>
        <v>0</v>
      </c>
      <c r="W22" s="48"/>
      <c r="X22" s="239"/>
      <c r="Y22" s="238" t="s">
        <v>2</v>
      </c>
      <c r="Z22" s="238"/>
      <c r="AA22" s="238" t="s">
        <v>180</v>
      </c>
      <c r="AB22" s="373">
        <f>(IF(SMALL(Z27:Z29,1)&lt;0,0,(SMALL(Z27:Z29,1))))*Z22</f>
        <v>0</v>
      </c>
      <c r="AC22" s="44"/>
      <c r="AD22" s="44"/>
      <c r="AE22" s="44"/>
    </row>
    <row r="23" spans="1:32" ht="12.75" customHeight="1" x14ac:dyDescent="0.35">
      <c r="B23" s="45"/>
      <c r="C23" s="220" t="s">
        <v>25</v>
      </c>
      <c r="D23" s="168"/>
      <c r="E23" s="106">
        <f>Eingabe!F26</f>
        <v>0</v>
      </c>
      <c r="F23" s="121">
        <f t="shared" si="0"/>
        <v>0</v>
      </c>
      <c r="G23" s="204"/>
      <c r="H23" s="106">
        <f>'c.1) Immobilien'!J31</f>
        <v>0</v>
      </c>
      <c r="I23" s="106">
        <f>'c.1) Immobilien'!K31</f>
        <v>0</v>
      </c>
      <c r="J23" s="106">
        <f>'c.1) Immobilien'!L31</f>
        <v>0</v>
      </c>
      <c r="K23" s="106">
        <f>'c.1) Immobilien'!M31</f>
        <v>0</v>
      </c>
      <c r="L23" s="106">
        <f t="shared" si="6"/>
        <v>0</v>
      </c>
      <c r="M23" s="210">
        <f t="shared" si="2"/>
        <v>0</v>
      </c>
      <c r="N23" s="47"/>
      <c r="O23" s="211">
        <f>'c.1) Immobilien'!L18</f>
        <v>0</v>
      </c>
      <c r="P23" s="274">
        <f t="shared" si="4"/>
        <v>0</v>
      </c>
      <c r="Q23" s="213"/>
      <c r="R23" s="214">
        <f>IF(Eingabe!Q45="ja", 'c.1) Immobilien'!O31, $AA$15)</f>
        <v>0</v>
      </c>
      <c r="S23" s="214">
        <f>IF(Eingabe!Q45="ja",'c.1) Immobilien'!P31,$AA$15)</f>
        <v>0</v>
      </c>
      <c r="T23" s="215">
        <f>IF(Eingabe!Q45="ja",IF(L23-S23=U23,0,L23-S23-U23),$AA$15)</f>
        <v>0</v>
      </c>
      <c r="U23" s="215">
        <f>IF(Eingabe!$Q$45="ja",IF(U$22&lt;E$22*1.2,L23-S23,IF((L23-S23)&gt;E23*1.2,E23*1.2,L23-S23)),$AA$15)</f>
        <v>0</v>
      </c>
      <c r="V23" s="221">
        <f>IF(Eingabe!Q45="ja",'c.1) Immobilien'!N18,$AA$15)</f>
        <v>0</v>
      </c>
      <c r="W23" s="48"/>
      <c r="Y23" s="238" t="s">
        <v>174</v>
      </c>
      <c r="Z23" s="238"/>
      <c r="AA23" s="238" t="s">
        <v>176</v>
      </c>
      <c r="AB23" s="373">
        <f>IF(Eingabe!Q43="d",U17/E17*E27,0)</f>
        <v>0</v>
      </c>
      <c r="AC23" s="44"/>
      <c r="AD23" s="44"/>
      <c r="AE23" s="44"/>
    </row>
    <row r="24" spans="1:32" ht="12.75" customHeight="1" x14ac:dyDescent="0.35">
      <c r="B24" s="45"/>
      <c r="C24" s="261" t="s">
        <v>106</v>
      </c>
      <c r="D24" s="168"/>
      <c r="E24" s="106">
        <f>Eingabe!F27</f>
        <v>0</v>
      </c>
      <c r="F24" s="121">
        <f t="shared" ref="F24:F25" si="7">IF($E$28=0,0,E24/$E$28)</f>
        <v>0</v>
      </c>
      <c r="G24" s="204"/>
      <c r="H24" s="106">
        <f>'c.2) Sonstige'!J31</f>
        <v>0</v>
      </c>
      <c r="I24" s="106">
        <f>'c.2) Sonstige'!K31</f>
        <v>0</v>
      </c>
      <c r="J24" s="106">
        <f>'c.2) Sonstige'!L31</f>
        <v>0</v>
      </c>
      <c r="K24" s="106">
        <f>'c.2) Sonstige'!M31</f>
        <v>0</v>
      </c>
      <c r="L24" s="106">
        <f t="shared" si="6"/>
        <v>0</v>
      </c>
      <c r="M24" s="210">
        <f t="shared" si="2"/>
        <v>0</v>
      </c>
      <c r="N24" s="47"/>
      <c r="O24" s="211">
        <f>'c.2) Sonstige'!L18</f>
        <v>0</v>
      </c>
      <c r="P24" s="274">
        <f t="shared" si="4"/>
        <v>0</v>
      </c>
      <c r="Q24" s="213"/>
      <c r="R24" s="214">
        <f>IF(Eingabe!Q45="ja", 'c.2) Sonstige'!O31, $AA$15)</f>
        <v>0</v>
      </c>
      <c r="S24" s="214">
        <f>IF(Eingabe!Q45="ja",'c.2) Sonstige'!P31,$AA$15)</f>
        <v>0</v>
      </c>
      <c r="T24" s="215">
        <f>IF(Eingabe!Q45="ja",IF(L24-S24=U24,0,L24-S24-U24),$AA$15)</f>
        <v>0</v>
      </c>
      <c r="U24" s="215">
        <f>IF(Eingabe!$Q$45="ja",IF(U$22&lt;E$22*1.2,L24-S24,IF((L24-S24)&gt;E24*1.2,E24*1.2,L24-S24)),$AA$15)</f>
        <v>0</v>
      </c>
      <c r="V24" s="221">
        <f>IF(Eingabe!Q45="ja",'c.2) Sonstige'!N18,$AA$15)</f>
        <v>0</v>
      </c>
      <c r="W24" s="48"/>
      <c r="Y24" s="238" t="s">
        <v>175</v>
      </c>
      <c r="Z24" s="238"/>
      <c r="AA24" s="238" t="s">
        <v>177</v>
      </c>
      <c r="AB24" s="373">
        <f>IF(Eingabe!Q43="d",U18/E18*E27,0)</f>
        <v>0</v>
      </c>
      <c r="AC24" s="44"/>
      <c r="AD24" s="44"/>
      <c r="AE24" s="44"/>
    </row>
    <row r="25" spans="1:32" ht="12.75" customHeight="1" x14ac:dyDescent="0.35">
      <c r="B25" s="45"/>
      <c r="C25" s="220" t="s">
        <v>108</v>
      </c>
      <c r="D25" s="168"/>
      <c r="E25" s="106">
        <f>Eingabe!F28</f>
        <v>0</v>
      </c>
      <c r="F25" s="121">
        <f t="shared" si="7"/>
        <v>0</v>
      </c>
      <c r="G25" s="204"/>
      <c r="H25" s="106">
        <f>'c.3) Anlagegüter'!M31</f>
        <v>0</v>
      </c>
      <c r="I25" s="106">
        <f>'c.3) Anlagegüter'!N31</f>
        <v>0</v>
      </c>
      <c r="J25" s="106">
        <f>'c.3) Anlagegüter'!O31</f>
        <v>0</v>
      </c>
      <c r="K25" s="106">
        <f>'c.3) Anlagegüter'!P31</f>
        <v>0</v>
      </c>
      <c r="L25" s="106">
        <f t="shared" si="6"/>
        <v>0</v>
      </c>
      <c r="M25" s="210">
        <f t="shared" si="2"/>
        <v>0</v>
      </c>
      <c r="N25" s="47"/>
      <c r="O25" s="211">
        <f>'c.3) Anlagegüter'!L18</f>
        <v>0</v>
      </c>
      <c r="P25" s="274">
        <f t="shared" si="4"/>
        <v>0</v>
      </c>
      <c r="Q25" s="213"/>
      <c r="R25" s="214">
        <f>IF(Eingabe!Q45="ja", 'c.3) Anlagegüter'!R31, $AA$15)</f>
        <v>0</v>
      </c>
      <c r="S25" s="214">
        <f>IF(Eingabe!Q45="ja",'c.3) Anlagegüter'!S31,$AA$15)</f>
        <v>0</v>
      </c>
      <c r="T25" s="215">
        <f>IF(Eingabe!Q45="ja",IF(L25-S25=U25,0,L25-S25-U25),$AA$15)</f>
        <v>0</v>
      </c>
      <c r="U25" s="215">
        <f>IF(Eingabe!$Q$45="ja",IF(U$22&lt;E$22*1.2,L25-S25,IF((L25-S25)&gt;E25*1.2,E25*1.2,L25-S25)),$AA$15)</f>
        <v>0</v>
      </c>
      <c r="V25" s="221">
        <f>IF(Eingabe!Q45="ja",'c.3) Anlagegüter'!R18,$AA$15)</f>
        <v>0</v>
      </c>
      <c r="W25" s="48"/>
      <c r="X25" s="239"/>
      <c r="Y25" s="238"/>
      <c r="Z25" s="238"/>
      <c r="AA25" s="238"/>
      <c r="AB25" s="238"/>
      <c r="AC25" s="44"/>
      <c r="AD25" s="44"/>
      <c r="AE25" s="44"/>
    </row>
    <row r="26" spans="1:32" ht="12.75" customHeight="1" x14ac:dyDescent="0.35">
      <c r="B26" s="45"/>
      <c r="C26" s="543" t="s">
        <v>107</v>
      </c>
      <c r="D26" s="497"/>
      <c r="E26" s="106">
        <f>Eingabe!F29</f>
        <v>0</v>
      </c>
      <c r="F26" s="121">
        <f>IF($E$28=0,0,E26/$E$28)</f>
        <v>0</v>
      </c>
      <c r="G26" s="204"/>
      <c r="H26" s="106">
        <f>'c.4) Unteraufträge'!J31</f>
        <v>0</v>
      </c>
      <c r="I26" s="106">
        <f>'c.4) Unteraufträge'!K31</f>
        <v>0</v>
      </c>
      <c r="J26" s="106">
        <f>'c.4) Unteraufträge'!L31</f>
        <v>0</v>
      </c>
      <c r="K26" s="106">
        <f>'c.4) Unteraufträge'!M31</f>
        <v>0</v>
      </c>
      <c r="L26" s="106">
        <f t="shared" si="6"/>
        <v>0</v>
      </c>
      <c r="M26" s="210">
        <f t="shared" si="2"/>
        <v>0</v>
      </c>
      <c r="N26" s="47"/>
      <c r="O26" s="211">
        <f>'c.4) Unteraufträge'!L18</f>
        <v>0</v>
      </c>
      <c r="P26" s="274">
        <f t="shared" si="4"/>
        <v>0</v>
      </c>
      <c r="Q26" s="213"/>
      <c r="R26" s="214">
        <f>IF(Eingabe!Q45="ja", 'c.4) Unteraufträge'!O31, $AA$15)</f>
        <v>0</v>
      </c>
      <c r="S26" s="214">
        <f>IF(Eingabe!Q45="ja",'c.4) Unteraufträge'!P31,$AA$15)</f>
        <v>0</v>
      </c>
      <c r="T26" s="215">
        <f>IF(Eingabe!Q45="ja",IF(T22&gt;0,IF(L26-S26&gt;1.2*E26,IF(L26-1.2*E26&lt;T22,L26-1.2*E26-S26,T22),0),0),$AA$15)</f>
        <v>0</v>
      </c>
      <c r="U26" s="221">
        <f>IF(Eingabe!Q45="ja",L26-S26-T26,$AA$15)</f>
        <v>0</v>
      </c>
      <c r="V26" s="221">
        <f>IF(Eingabe!Q45="ja",'c.4) Unteraufträge'!N18,$AA$15)</f>
        <v>0</v>
      </c>
      <c r="W26" s="48"/>
      <c r="X26" s="239"/>
      <c r="Y26" s="238"/>
      <c r="Z26" s="238"/>
      <c r="AA26" s="238" t="s">
        <v>171</v>
      </c>
      <c r="AB26" s="238"/>
      <c r="AC26" s="44"/>
      <c r="AD26" s="44"/>
      <c r="AE26" s="44"/>
    </row>
    <row r="27" spans="1:32" ht="14.5" x14ac:dyDescent="0.35">
      <c r="B27" s="45"/>
      <c r="C27" s="222" t="s">
        <v>49</v>
      </c>
      <c r="D27" s="409">
        <f>IF(E18=0,0,IF(OR(Eingabe!$Q$43="b",Eingabe!$Q$43="c",Eingabe!$Q$43="e"),E27/E18,IF(OR(Eingabe!$Q$43="a",Eingabe!$Q$43="d"),E27/E17,"Fehler")))</f>
        <v>0</v>
      </c>
      <c r="E27" s="223">
        <f>Eingabe!F30</f>
        <v>0</v>
      </c>
      <c r="F27" s="120">
        <f>IF($E$28=0,0,E27/$E$28)</f>
        <v>0</v>
      </c>
      <c r="G27" s="196"/>
      <c r="H27" s="223">
        <f>'d) Indirekte'!J31</f>
        <v>0</v>
      </c>
      <c r="I27" s="223">
        <f>'d) Indirekte'!K31</f>
        <v>0</v>
      </c>
      <c r="J27" s="223">
        <f>'d) Indirekte'!L31</f>
        <v>0</v>
      </c>
      <c r="K27" s="223">
        <f>'d) Indirekte'!M31</f>
        <v>0</v>
      </c>
      <c r="L27" s="223">
        <f t="shared" si="6"/>
        <v>0</v>
      </c>
      <c r="M27" s="197">
        <f t="shared" si="2"/>
        <v>0</v>
      </c>
      <c r="N27" s="47"/>
      <c r="O27" s="217">
        <f>'d) Indirekte'!L18</f>
        <v>0</v>
      </c>
      <c r="P27" s="311">
        <f t="shared" si="4"/>
        <v>0</v>
      </c>
      <c r="Q27" s="199"/>
      <c r="R27" s="200">
        <f>IF(Eingabe!Q45="ja", 'd) Indirekte'!O31, $AA$15)</f>
        <v>0</v>
      </c>
      <c r="S27" s="200">
        <f>IF(Eingabe!Q45="ja",'d) Indirekte'!P31,$AA$15)</f>
        <v>0</v>
      </c>
      <c r="T27" s="202">
        <f>IF(Eingabe!Q45="ja",IF(L27-S27=U27,0,L27-S27-U27),$AA$15)</f>
        <v>0</v>
      </c>
      <c r="U27" s="202">
        <f>IF(Eingabe!Q45="ja",IF(Eingabe!Q43="a",Eingabe!Q44/100*Overview!U17,IF(Eingabe!Q43="b",Eingabe!Q44/100*Overview!U18,IF(Eingabe!Q43="c",MIN(Z27:Z29),IF(Eingabe!Q43="d",U17/E17*E27,IF(Eingabe!Q43="e", U18/E18*E27, "Fehler"))))),$AA$15)</f>
        <v>0</v>
      </c>
      <c r="V27" s="202">
        <f>IF(Eingabe!Q45="ja",'d) Indirekte'!N18,$AA$15)</f>
        <v>0</v>
      </c>
      <c r="W27" s="48"/>
      <c r="X27" s="239"/>
      <c r="Y27" s="238" t="s">
        <v>0</v>
      </c>
      <c r="Z27" s="373">
        <f>E27</f>
        <v>0</v>
      </c>
      <c r="AA27" s="238" t="s">
        <v>168</v>
      </c>
      <c r="AB27" s="238"/>
      <c r="AC27" s="44"/>
      <c r="AD27" s="44"/>
      <c r="AE27" s="44"/>
    </row>
    <row r="28" spans="1:32" ht="15.75" customHeight="1" x14ac:dyDescent="0.35">
      <c r="B28" s="45"/>
      <c r="C28" s="544" t="s">
        <v>24</v>
      </c>
      <c r="D28" s="545"/>
      <c r="E28" s="224">
        <f>SUM(E17+E27)</f>
        <v>0</v>
      </c>
      <c r="F28" s="225">
        <f>IF($E$28=0,0,E28/$E$28)</f>
        <v>0</v>
      </c>
      <c r="G28" s="196"/>
      <c r="H28" s="226">
        <f>H17+H27</f>
        <v>0</v>
      </c>
      <c r="I28" s="226">
        <f t="shared" ref="I28:K28" si="8">I17+I27</f>
        <v>0</v>
      </c>
      <c r="J28" s="226">
        <f t="shared" si="8"/>
        <v>0</v>
      </c>
      <c r="K28" s="226">
        <f t="shared" si="8"/>
        <v>0</v>
      </c>
      <c r="L28" s="226">
        <f>SUM(L17+L27)</f>
        <v>0</v>
      </c>
      <c r="M28" s="205">
        <f t="shared" si="2"/>
        <v>0</v>
      </c>
      <c r="N28" s="47"/>
      <c r="O28" s="206">
        <f>SUM(O17+O27)</f>
        <v>0</v>
      </c>
      <c r="P28" s="310">
        <f t="shared" si="4"/>
        <v>0</v>
      </c>
      <c r="Q28" s="199"/>
      <c r="R28" s="227">
        <f>IF(Eingabe!Q45="ja", R17+R27, $AA$15)</f>
        <v>0</v>
      </c>
      <c r="S28" s="228">
        <f>IF(Eingabe!Q45="ja",S17+S27,$AA$15)</f>
        <v>0</v>
      </c>
      <c r="T28" s="229">
        <f>IF(Eingabe!Q45="ja",T17+T27,$AA$15)</f>
        <v>0</v>
      </c>
      <c r="U28" s="229">
        <f>IF(Eingabe!Q45="ja",U17+U27,$AA$15)</f>
        <v>0</v>
      </c>
      <c r="V28" s="230">
        <f>IF(Eingabe!Q45="ja",V17+V27,$AA$15)</f>
        <v>0</v>
      </c>
      <c r="W28" s="48"/>
      <c r="X28" s="239"/>
      <c r="Y28" s="238" t="s">
        <v>1</v>
      </c>
      <c r="Z28" s="373">
        <f>U18*0.15</f>
        <v>0</v>
      </c>
      <c r="AA28" s="238" t="s">
        <v>169</v>
      </c>
      <c r="AB28" s="238"/>
      <c r="AC28" s="44"/>
      <c r="AD28" s="44"/>
      <c r="AE28" s="44"/>
    </row>
    <row r="29" spans="1:32" x14ac:dyDescent="0.35">
      <c r="B29" s="45"/>
      <c r="C29" s="231"/>
      <c r="D29" s="56"/>
      <c r="E29" s="56"/>
      <c r="F29" s="232"/>
      <c r="G29" s="141"/>
      <c r="H29" s="56"/>
      <c r="I29" s="232"/>
      <c r="J29" s="141"/>
      <c r="K29" s="141"/>
      <c r="L29" s="169"/>
      <c r="M29" s="169"/>
      <c r="N29" s="169"/>
      <c r="O29" s="169"/>
      <c r="P29" s="169"/>
      <c r="Q29" s="169"/>
      <c r="R29" s="56"/>
      <c r="S29" s="169"/>
      <c r="T29" s="169"/>
      <c r="U29" s="169"/>
      <c r="V29" s="169"/>
      <c r="W29" s="48"/>
      <c r="X29" s="239"/>
      <c r="Y29" s="238" t="s">
        <v>2</v>
      </c>
      <c r="Z29" s="373">
        <f>L27-S27</f>
        <v>0</v>
      </c>
      <c r="AA29" s="238" t="s">
        <v>170</v>
      </c>
      <c r="AB29" s="238"/>
      <c r="AC29" s="44"/>
      <c r="AD29" s="44"/>
      <c r="AE29" s="44"/>
    </row>
    <row r="30" spans="1:32" ht="36" customHeight="1" x14ac:dyDescent="0.3">
      <c r="A30" s="44" t="s">
        <v>139</v>
      </c>
      <c r="B30" s="45"/>
      <c r="C30" s="531" t="s">
        <v>5</v>
      </c>
      <c r="D30" s="532"/>
      <c r="E30" s="233" t="s">
        <v>23</v>
      </c>
      <c r="F30" s="187" t="s">
        <v>22</v>
      </c>
      <c r="G30" s="188"/>
      <c r="H30" s="233" t="s">
        <v>41</v>
      </c>
      <c r="I30" s="187" t="s">
        <v>22</v>
      </c>
      <c r="J30" s="234"/>
      <c r="K30" s="312"/>
      <c r="L30" s="312"/>
      <c r="M30" s="169"/>
      <c r="N30" s="169"/>
      <c r="O30" s="169"/>
      <c r="P30" s="169"/>
      <c r="Q30" s="169"/>
      <c r="R30" s="235" t="s">
        <v>14</v>
      </c>
      <c r="S30" s="190" t="s">
        <v>22</v>
      </c>
      <c r="T30" s="189" t="s">
        <v>64</v>
      </c>
      <c r="U30" s="236"/>
      <c r="V30" s="237"/>
      <c r="W30" s="48"/>
      <c r="X30" s="239"/>
      <c r="Y30" s="238"/>
      <c r="Z30" s="238"/>
      <c r="AA30" s="374" t="s">
        <v>14</v>
      </c>
      <c r="AB30" s="238"/>
      <c r="AC30" s="44"/>
      <c r="AD30" s="44"/>
      <c r="AE30" s="44"/>
      <c r="AF30" s="239"/>
    </row>
    <row r="31" spans="1:32" ht="20.25" customHeight="1" x14ac:dyDescent="0.35">
      <c r="B31" s="45"/>
      <c r="C31" s="534" t="s">
        <v>65</v>
      </c>
      <c r="D31" s="506"/>
      <c r="E31" s="104">
        <f>Eingabe!F34</f>
        <v>0</v>
      </c>
      <c r="F31" s="122">
        <f>IF($E$35=0,0,E31/$E$35)</f>
        <v>0</v>
      </c>
      <c r="G31" s="204"/>
      <c r="H31" s="240">
        <f>Projekteinnahmen!E9</f>
        <v>0</v>
      </c>
      <c r="I31" s="122">
        <f>IF($H$35=0,0,H31/$H$35)</f>
        <v>0</v>
      </c>
      <c r="J31" s="241"/>
      <c r="K31" s="556"/>
      <c r="L31" s="557"/>
      <c r="M31" s="169"/>
      <c r="N31" s="169"/>
      <c r="O31" s="169"/>
      <c r="P31" s="169"/>
      <c r="Q31" s="169"/>
      <c r="R31" s="242">
        <f>IF(Eingabe!Q45="ja",IF(SMALL(Z31:Z33,1)&lt;0,0,(SMALL(Z31:Z33,1))),$AA$15)</f>
        <v>0</v>
      </c>
      <c r="S31" s="243">
        <f>IF(Eingabe!Q45="ja",IF($R$35=0,0,R31/$R$35),$AA$15)</f>
        <v>0</v>
      </c>
      <c r="T31" s="244">
        <f>IF(Eingabe!Q45="ja",R31-H31,$AA$15)</f>
        <v>0</v>
      </c>
      <c r="U31" s="245"/>
      <c r="V31" s="245"/>
      <c r="W31" s="48"/>
      <c r="X31" s="239"/>
      <c r="Y31" s="238" t="s">
        <v>0</v>
      </c>
      <c r="Z31" s="373">
        <f>U28*F31</f>
        <v>0</v>
      </c>
      <c r="AA31" s="238" t="s">
        <v>68</v>
      </c>
      <c r="AB31" s="238"/>
      <c r="AC31" s="44"/>
      <c r="AD31" s="44"/>
      <c r="AE31" s="44"/>
      <c r="AF31" s="239"/>
    </row>
    <row r="32" spans="1:32" ht="38.4" customHeight="1" x14ac:dyDescent="0.35">
      <c r="B32" s="45"/>
      <c r="C32" s="534" t="s">
        <v>98</v>
      </c>
      <c r="D32" s="506"/>
      <c r="E32" s="104">
        <f>Eingabe!F35</f>
        <v>0</v>
      </c>
      <c r="F32" s="122">
        <f>IF($E$35=0,0,E32/$E$35)</f>
        <v>0</v>
      </c>
      <c r="G32" s="204"/>
      <c r="H32" s="240">
        <f>Projekteinnahmen!E14</f>
        <v>0</v>
      </c>
      <c r="I32" s="122">
        <f>IF($H$35=0,0,H32/$H$35)</f>
        <v>0</v>
      </c>
      <c r="J32" s="241"/>
      <c r="K32" s="556"/>
      <c r="L32" s="557"/>
      <c r="M32" s="169"/>
      <c r="N32" s="169"/>
      <c r="O32" s="169"/>
      <c r="P32" s="169"/>
      <c r="Q32" s="169"/>
      <c r="R32" s="242">
        <f>IF(Eingabe!Q45="ja",U28-R31-R33-R34,$AA$15)</f>
        <v>0</v>
      </c>
      <c r="S32" s="243">
        <f>IF(Eingabe!Q45="ja",IF($R$35=0,0,R32/$R$35),$AA$15)</f>
        <v>0</v>
      </c>
      <c r="T32" s="246"/>
      <c r="U32" s="247"/>
      <c r="V32" s="247"/>
      <c r="W32" s="48"/>
      <c r="X32" s="239"/>
      <c r="Y32" s="238" t="s">
        <v>1</v>
      </c>
      <c r="Z32" s="373">
        <f>E31</f>
        <v>0</v>
      </c>
      <c r="AA32" s="238" t="s">
        <v>69</v>
      </c>
      <c r="AB32" s="238"/>
      <c r="AC32" s="44"/>
      <c r="AD32" s="44"/>
      <c r="AE32" s="44"/>
      <c r="AF32" s="239"/>
    </row>
    <row r="33" spans="1:32" ht="17.25" customHeight="1" x14ac:dyDescent="0.35">
      <c r="B33" s="45"/>
      <c r="C33" s="534" t="s">
        <v>21</v>
      </c>
      <c r="D33" s="506"/>
      <c r="E33" s="104">
        <f>Eingabe!F36</f>
        <v>0</v>
      </c>
      <c r="F33" s="122">
        <f>IF($E$35=0,0,E33/$E$35)</f>
        <v>0</v>
      </c>
      <c r="G33" s="204"/>
      <c r="H33" s="240">
        <f>Projekteinnahmen!E29</f>
        <v>0</v>
      </c>
      <c r="I33" s="122">
        <f>IF($H$35=0,0,H33/$H$35)</f>
        <v>0</v>
      </c>
      <c r="J33" s="241"/>
      <c r="K33" s="313"/>
      <c r="L33" s="314"/>
      <c r="M33" s="169"/>
      <c r="N33" s="169"/>
      <c r="O33" s="169"/>
      <c r="P33" s="169"/>
      <c r="Q33" s="169"/>
      <c r="R33" s="242">
        <f>IF(Eingabe!Q45="ja",Projekteinnahmen!F29,$AA$15)</f>
        <v>0</v>
      </c>
      <c r="S33" s="243">
        <f>IF(Eingabe!Q45="ja",IF($R$35=0,0,R33/$R$35),$AA$15)</f>
        <v>0</v>
      </c>
      <c r="T33" s="246"/>
      <c r="U33" s="247"/>
      <c r="V33" s="247"/>
      <c r="W33" s="48"/>
      <c r="X33" s="239"/>
      <c r="Y33" s="238" t="s">
        <v>2</v>
      </c>
      <c r="Z33" s="373">
        <f>U28-(IF(((U28*F32)&gt;E32),E32,(U28*F32)))-R33-R34</f>
        <v>0</v>
      </c>
      <c r="AA33" s="238" t="s">
        <v>18</v>
      </c>
      <c r="AB33" s="238"/>
      <c r="AC33" s="44"/>
      <c r="AD33" s="44"/>
      <c r="AE33" s="44"/>
      <c r="AF33" s="239"/>
    </row>
    <row r="34" spans="1:32" ht="28.5" customHeight="1" x14ac:dyDescent="0.35">
      <c r="B34" s="45"/>
      <c r="C34" s="534" t="s">
        <v>80</v>
      </c>
      <c r="D34" s="506"/>
      <c r="E34" s="104">
        <f>Eingabe!F37</f>
        <v>0</v>
      </c>
      <c r="F34" s="122">
        <f>IF($E$35=0,0,E34/$E$35)</f>
        <v>0</v>
      </c>
      <c r="G34" s="204"/>
      <c r="H34" s="240">
        <f>Projekteinnahmen!E44</f>
        <v>0</v>
      </c>
      <c r="I34" s="122">
        <f>IF($H$35=0,0,H34/$H$35)</f>
        <v>0</v>
      </c>
      <c r="J34" s="241"/>
      <c r="K34" s="313"/>
      <c r="L34" s="314"/>
      <c r="M34" s="169"/>
      <c r="N34" s="169"/>
      <c r="O34" s="169"/>
      <c r="P34" s="169"/>
      <c r="Q34" s="169"/>
      <c r="R34" s="242">
        <f>IF(Eingabe!Q45="ja",Projekteinnahmen!F44,$AA$15)</f>
        <v>0</v>
      </c>
      <c r="S34" s="243">
        <f>IF(Eingabe!Q45="ja",IF($R$35=0,0,R34/$R$35),$AA$15)</f>
        <v>0</v>
      </c>
      <c r="T34" s="169"/>
      <c r="U34" s="169"/>
      <c r="V34" s="169"/>
      <c r="W34" s="48"/>
      <c r="X34" s="239"/>
      <c r="Y34" s="238"/>
      <c r="Z34" s="238"/>
      <c r="AA34" s="238" t="s">
        <v>11</v>
      </c>
      <c r="AB34" s="238"/>
      <c r="AC34" s="44"/>
      <c r="AD34" s="44"/>
      <c r="AE34" s="44"/>
      <c r="AF34" s="239"/>
    </row>
    <row r="35" spans="1:32" ht="15.75" customHeight="1" x14ac:dyDescent="0.35">
      <c r="B35" s="45"/>
      <c r="C35" s="558" t="s">
        <v>20</v>
      </c>
      <c r="D35" s="559"/>
      <c r="E35" s="248">
        <f>SUM(E31:E34)</f>
        <v>0</v>
      </c>
      <c r="F35" s="120">
        <f>IF($E$35=0,0,E35/$E$35)</f>
        <v>0</v>
      </c>
      <c r="G35" s="196"/>
      <c r="H35" s="248">
        <f>SUM(H31:H34)</f>
        <v>0</v>
      </c>
      <c r="I35" s="120">
        <f>IF($H$35=0,0,H35/$H$35)</f>
        <v>0</v>
      </c>
      <c r="J35" s="249"/>
      <c r="K35" s="315"/>
      <c r="L35" s="316"/>
      <c r="M35" s="169"/>
      <c r="N35" s="169"/>
      <c r="O35" s="169"/>
      <c r="P35" s="169"/>
      <c r="Q35" s="169"/>
      <c r="R35" s="309">
        <f>IF(Eingabe!Q45="ja",SUM(R31:R34),$AA$15)</f>
        <v>0</v>
      </c>
      <c r="S35" s="198">
        <f>IF(Eingabe!Q45="ja",IF($R$35=0,0,R35/$R$35),$AA$15)</f>
        <v>0</v>
      </c>
      <c r="T35" s="169"/>
      <c r="U35" s="169"/>
      <c r="V35" s="169"/>
      <c r="W35" s="48"/>
      <c r="X35" s="239"/>
      <c r="Y35" s="238"/>
      <c r="Z35" s="238"/>
      <c r="AA35" s="238" t="s">
        <v>12</v>
      </c>
      <c r="AB35" s="238"/>
      <c r="AC35" s="44"/>
      <c r="AD35" s="44"/>
      <c r="AE35" s="44"/>
      <c r="AF35" s="239"/>
    </row>
    <row r="36" spans="1:32" ht="15" customHeight="1" x14ac:dyDescent="0.35">
      <c r="B36" s="55"/>
      <c r="C36" s="231"/>
      <c r="D36" s="56"/>
      <c r="E36" s="56"/>
      <c r="F36" s="232"/>
      <c r="G36" s="232"/>
      <c r="H36" s="56"/>
      <c r="I36" s="232"/>
      <c r="J36" s="232"/>
      <c r="K36" s="232"/>
      <c r="L36" s="232"/>
      <c r="M36" s="56"/>
      <c r="N36" s="56"/>
      <c r="O36" s="56"/>
      <c r="P36" s="56"/>
      <c r="Q36" s="56"/>
      <c r="R36" s="56"/>
      <c r="S36" s="56"/>
      <c r="T36" s="56"/>
      <c r="U36" s="56"/>
      <c r="V36" s="56"/>
      <c r="W36" s="57"/>
      <c r="X36" s="239"/>
      <c r="Y36" s="238"/>
      <c r="Z36" s="238"/>
      <c r="AA36" s="238" t="s">
        <v>13</v>
      </c>
      <c r="AB36" s="238"/>
      <c r="AC36" s="44"/>
      <c r="AD36" s="44"/>
      <c r="AE36" s="44"/>
      <c r="AF36" s="239"/>
    </row>
    <row r="37" spans="1:32" x14ac:dyDescent="0.35">
      <c r="X37" s="239"/>
      <c r="Y37" s="238"/>
      <c r="Z37" s="238"/>
      <c r="AA37" s="238"/>
      <c r="AB37" s="238"/>
      <c r="AF37" s="239"/>
    </row>
    <row r="38" spans="1:32" x14ac:dyDescent="0.35">
      <c r="A38" s="238"/>
      <c r="B38" s="251"/>
      <c r="C38" s="252"/>
      <c r="D38" s="253"/>
      <c r="E38" s="253"/>
      <c r="F38" s="254"/>
      <c r="G38" s="254"/>
      <c r="H38" s="253"/>
      <c r="I38" s="254"/>
      <c r="J38" s="254"/>
      <c r="K38" s="254"/>
      <c r="L38" s="254"/>
      <c r="M38" s="253"/>
      <c r="N38" s="253"/>
      <c r="O38" s="253"/>
      <c r="P38" s="253"/>
      <c r="Q38" s="255"/>
      <c r="T38" s="238"/>
      <c r="U38" s="238"/>
      <c r="V38" s="238"/>
      <c r="X38" s="239"/>
      <c r="Y38" s="239"/>
      <c r="Z38" s="239"/>
      <c r="AF38" s="239"/>
    </row>
    <row r="39" spans="1:32" ht="29" x14ac:dyDescent="0.35">
      <c r="A39" s="238"/>
      <c r="B39" s="256"/>
      <c r="C39" s="541" t="str">
        <f>Eingabe!H$18&amp;": "&amp;Eingabe!H$19</f>
        <v>Maßnahme 1: Titel</v>
      </c>
      <c r="D39" s="541"/>
      <c r="E39" s="257" t="s">
        <v>23</v>
      </c>
      <c r="F39" s="190" t="s">
        <v>22</v>
      </c>
      <c r="G39" s="258"/>
      <c r="H39" s="257" t="s">
        <v>109</v>
      </c>
      <c r="I39" s="257" t="s">
        <v>110</v>
      </c>
      <c r="J39" s="257" t="s">
        <v>111</v>
      </c>
      <c r="K39" s="257" t="s">
        <v>112</v>
      </c>
      <c r="L39" s="257" t="s">
        <v>113</v>
      </c>
      <c r="M39" s="190" t="s">
        <v>43</v>
      </c>
      <c r="N39" s="259"/>
      <c r="O39" s="192" t="s">
        <v>19</v>
      </c>
      <c r="P39" s="193" t="s">
        <v>10</v>
      </c>
      <c r="Q39" s="260"/>
      <c r="T39" s="238"/>
      <c r="U39" s="238"/>
      <c r="V39" s="238"/>
      <c r="X39" s="239"/>
      <c r="Y39" s="239"/>
      <c r="Z39" s="239"/>
      <c r="AF39" s="239"/>
    </row>
    <row r="40" spans="1:32" ht="14.5" x14ac:dyDescent="0.35">
      <c r="A40" s="238"/>
      <c r="B40" s="256"/>
      <c r="C40" s="542" t="s">
        <v>27</v>
      </c>
      <c r="D40" s="542"/>
      <c r="E40" s="223">
        <f>Eingabe!H20</f>
        <v>0</v>
      </c>
      <c r="F40" s="198">
        <f>IF($E$28=0,0,E40/$E$51)</f>
        <v>0</v>
      </c>
      <c r="G40" s="258"/>
      <c r="H40" s="223">
        <f>H41+H44+H45</f>
        <v>0</v>
      </c>
      <c r="I40" s="223">
        <f t="shared" ref="I40:K40" si="9">I41+I44+I45</f>
        <v>0</v>
      </c>
      <c r="J40" s="223">
        <f t="shared" si="9"/>
        <v>0</v>
      </c>
      <c r="K40" s="223">
        <f t="shared" si="9"/>
        <v>0</v>
      </c>
      <c r="L40" s="223">
        <f>SUM(H40:K40)</f>
        <v>0</v>
      </c>
      <c r="M40" s="198">
        <f t="shared" ref="M40:M51" si="10">IF(E40=0,0,L40/E40)</f>
        <v>0</v>
      </c>
      <c r="N40" s="259"/>
      <c r="O40" s="223">
        <f>IF(Eingabe!$Q$45="ja",SUM(O41+O44+O45),Overview!$AA$15)</f>
        <v>0</v>
      </c>
      <c r="P40" s="223">
        <f>IF(Eingabe!$Q$45="ja",L40-O40,Overview!$AA$15)</f>
        <v>0</v>
      </c>
      <c r="Q40" s="260"/>
      <c r="T40" s="238"/>
      <c r="U40" s="238"/>
      <c r="V40" s="238"/>
    </row>
    <row r="41" spans="1:32" x14ac:dyDescent="0.35">
      <c r="A41" s="238"/>
      <c r="B41" s="256"/>
      <c r="C41" s="552" t="s">
        <v>6</v>
      </c>
      <c r="D41" s="552"/>
      <c r="E41" s="203">
        <f>Eingabe!H21</f>
        <v>0</v>
      </c>
      <c r="F41" s="207">
        <f t="shared" ref="F41:F51" si="11">IF($E$28=0,0,E41/$E$51)</f>
        <v>0</v>
      </c>
      <c r="G41" s="258"/>
      <c r="H41" s="203">
        <f>H42+H43</f>
        <v>0</v>
      </c>
      <c r="I41" s="203">
        <f t="shared" ref="I41:K41" si="12">I42+I43</f>
        <v>0</v>
      </c>
      <c r="J41" s="203">
        <f t="shared" si="12"/>
        <v>0</v>
      </c>
      <c r="K41" s="203">
        <f t="shared" si="12"/>
        <v>0</v>
      </c>
      <c r="L41" s="203">
        <f t="shared" ref="L41:L51" si="13">SUM(H41:K41)</f>
        <v>0</v>
      </c>
      <c r="M41" s="207">
        <f t="shared" si="10"/>
        <v>0</v>
      </c>
      <c r="N41" s="259"/>
      <c r="O41" s="203">
        <f>IF(Eingabe!$Q$45="ja",O42+O43,Overview!$AA$15)</f>
        <v>0</v>
      </c>
      <c r="P41" s="203">
        <f>IF(Eingabe!$Q$45="ja",L41-O41,Overview!$AA$15)</f>
        <v>0</v>
      </c>
      <c r="Q41" s="260"/>
      <c r="T41" s="238"/>
      <c r="U41" s="238"/>
      <c r="V41" s="238"/>
    </row>
    <row r="42" spans="1:32" x14ac:dyDescent="0.35">
      <c r="B42" s="45"/>
      <c r="C42" s="553" t="s">
        <v>26</v>
      </c>
      <c r="D42" s="553"/>
      <c r="E42" s="106">
        <f>Eingabe!H22</f>
        <v>0</v>
      </c>
      <c r="F42" s="212">
        <f t="shared" si="11"/>
        <v>0</v>
      </c>
      <c r="G42" s="141"/>
      <c r="H42" s="106">
        <f>'a.1) Angestellte'!R21</f>
        <v>0</v>
      </c>
      <c r="I42" s="106">
        <f>'a.1) Angestellte'!S21</f>
        <v>0</v>
      </c>
      <c r="J42" s="106">
        <f>'a.1) Angestellte'!T21</f>
        <v>0</v>
      </c>
      <c r="K42" s="106">
        <f>'a.1) Angestellte'!U21</f>
        <v>0</v>
      </c>
      <c r="L42" s="106">
        <f t="shared" si="13"/>
        <v>0</v>
      </c>
      <c r="M42" s="212">
        <f t="shared" si="10"/>
        <v>0</v>
      </c>
      <c r="N42" s="169"/>
      <c r="O42" s="106">
        <f>'a.1) Angestellte'!W21</f>
        <v>0</v>
      </c>
      <c r="P42" s="106">
        <f>'a.1) Angestellte'!X21</f>
        <v>0</v>
      </c>
      <c r="Q42" s="48"/>
    </row>
    <row r="43" spans="1:32" x14ac:dyDescent="0.35">
      <c r="B43" s="45"/>
      <c r="C43" s="553" t="s">
        <v>103</v>
      </c>
      <c r="D43" s="553"/>
      <c r="E43" s="106">
        <f>Eingabe!H23</f>
        <v>0</v>
      </c>
      <c r="F43" s="212">
        <f t="shared" si="11"/>
        <v>0</v>
      </c>
      <c r="G43" s="141"/>
      <c r="H43" s="106">
        <f>'a.2) Freie DN'!R21</f>
        <v>0</v>
      </c>
      <c r="I43" s="106">
        <f>'a.2) Freie DN'!S21</f>
        <v>0</v>
      </c>
      <c r="J43" s="106">
        <f>'a.2) Freie DN'!T21</f>
        <v>0</v>
      </c>
      <c r="K43" s="106">
        <f>'a.2) Freie DN'!U21</f>
        <v>0</v>
      </c>
      <c r="L43" s="106">
        <f t="shared" si="13"/>
        <v>0</v>
      </c>
      <c r="M43" s="212">
        <f t="shared" si="10"/>
        <v>0</v>
      </c>
      <c r="N43" s="169"/>
      <c r="O43" s="106">
        <f>'a.2) Freie DN'!W21</f>
        <v>0</v>
      </c>
      <c r="P43" s="106">
        <f>'a.2) Freie DN'!X21</f>
        <v>0</v>
      </c>
      <c r="Q43" s="48"/>
    </row>
    <row r="44" spans="1:32" x14ac:dyDescent="0.35">
      <c r="B44" s="45"/>
      <c r="C44" s="524" t="s">
        <v>15</v>
      </c>
      <c r="D44" s="524"/>
      <c r="E44" s="216">
        <f>Eingabe!H24</f>
        <v>0</v>
      </c>
      <c r="F44" s="198">
        <f t="shared" si="11"/>
        <v>0</v>
      </c>
      <c r="G44" s="141"/>
      <c r="H44" s="216">
        <f>'b) Reisekosten'!J21</f>
        <v>0</v>
      </c>
      <c r="I44" s="216">
        <f>'b) Reisekosten'!K21</f>
        <v>0</v>
      </c>
      <c r="J44" s="216">
        <f>'b) Reisekosten'!L21</f>
        <v>0</v>
      </c>
      <c r="K44" s="216">
        <f>'b) Reisekosten'!M21</f>
        <v>0</v>
      </c>
      <c r="L44" s="216">
        <f t="shared" si="13"/>
        <v>0</v>
      </c>
      <c r="M44" s="198">
        <f t="shared" si="10"/>
        <v>0</v>
      </c>
      <c r="N44" s="169"/>
      <c r="O44" s="216">
        <f>'b) Reisekosten'!O21</f>
        <v>0</v>
      </c>
      <c r="P44" s="216">
        <f>'b) Reisekosten'!P21</f>
        <v>0</v>
      </c>
      <c r="Q44" s="48"/>
    </row>
    <row r="45" spans="1:32" x14ac:dyDescent="0.35">
      <c r="B45" s="45"/>
      <c r="C45" s="552" t="s">
        <v>16</v>
      </c>
      <c r="D45" s="552"/>
      <c r="E45" s="203">
        <f>Eingabe!H25</f>
        <v>0</v>
      </c>
      <c r="F45" s="207">
        <f t="shared" si="11"/>
        <v>0</v>
      </c>
      <c r="G45" s="141"/>
      <c r="H45" s="203">
        <f>SUM(H46:H49)</f>
        <v>0</v>
      </c>
      <c r="I45" s="203">
        <f t="shared" ref="I45:K45" si="14">SUM(I46:I49)</f>
        <v>0</v>
      </c>
      <c r="J45" s="203">
        <f t="shared" si="14"/>
        <v>0</v>
      </c>
      <c r="K45" s="203">
        <f t="shared" si="14"/>
        <v>0</v>
      </c>
      <c r="L45" s="203">
        <f t="shared" si="13"/>
        <v>0</v>
      </c>
      <c r="M45" s="207">
        <f t="shared" si="10"/>
        <v>0</v>
      </c>
      <c r="N45" s="169"/>
      <c r="O45" s="203">
        <f>O46+O47+O48+O49</f>
        <v>0</v>
      </c>
      <c r="P45" s="203">
        <f>P46+P47+P48+P49</f>
        <v>0</v>
      </c>
      <c r="Q45" s="48"/>
    </row>
    <row r="46" spans="1:32" ht="14.5" x14ac:dyDescent="0.35">
      <c r="B46" s="45"/>
      <c r="C46" s="561" t="s">
        <v>25</v>
      </c>
      <c r="D46" s="562"/>
      <c r="E46" s="106">
        <f>Eingabe!H26</f>
        <v>0</v>
      </c>
      <c r="F46" s="212">
        <f t="shared" si="11"/>
        <v>0</v>
      </c>
      <c r="G46" s="141"/>
      <c r="H46" s="106">
        <f>'c.1) Immobilien'!J21</f>
        <v>0</v>
      </c>
      <c r="I46" s="106">
        <f>'c.1) Immobilien'!K21</f>
        <v>0</v>
      </c>
      <c r="J46" s="106">
        <f>'c.1) Immobilien'!L21</f>
        <v>0</v>
      </c>
      <c r="K46" s="106">
        <f>'c.1) Immobilien'!M21</f>
        <v>0</v>
      </c>
      <c r="L46" s="106">
        <f t="shared" si="13"/>
        <v>0</v>
      </c>
      <c r="M46" s="212">
        <f t="shared" si="10"/>
        <v>0</v>
      </c>
      <c r="N46" s="169"/>
      <c r="O46" s="106">
        <f>'c.1) Immobilien'!O21</f>
        <v>0</v>
      </c>
      <c r="P46" s="106">
        <f>'c.1) Immobilien'!P21</f>
        <v>0</v>
      </c>
      <c r="Q46" s="48"/>
    </row>
    <row r="47" spans="1:32" ht="14.5" x14ac:dyDescent="0.35">
      <c r="B47" s="45"/>
      <c r="C47" s="561" t="s">
        <v>106</v>
      </c>
      <c r="D47" s="562"/>
      <c r="E47" s="106">
        <f>Eingabe!H27</f>
        <v>0</v>
      </c>
      <c r="F47" s="212">
        <f t="shared" si="11"/>
        <v>0</v>
      </c>
      <c r="G47" s="141"/>
      <c r="H47" s="106">
        <f>'c.2) Sonstige'!J21</f>
        <v>0</v>
      </c>
      <c r="I47" s="106">
        <f>'c.2) Sonstige'!K21</f>
        <v>0</v>
      </c>
      <c r="J47" s="106">
        <f>'c.2) Sonstige'!L21</f>
        <v>0</v>
      </c>
      <c r="K47" s="106">
        <f>'c.2) Sonstige'!M21</f>
        <v>0</v>
      </c>
      <c r="L47" s="106">
        <f t="shared" si="13"/>
        <v>0</v>
      </c>
      <c r="M47" s="212">
        <f t="shared" si="10"/>
        <v>0</v>
      </c>
      <c r="N47" s="169"/>
      <c r="O47" s="106">
        <f>'c.2) Sonstige'!O21</f>
        <v>0</v>
      </c>
      <c r="P47" s="106">
        <f>'c.2) Sonstige'!P21</f>
        <v>0</v>
      </c>
      <c r="Q47" s="48"/>
    </row>
    <row r="48" spans="1:32" ht="14.5" x14ac:dyDescent="0.35">
      <c r="B48" s="45"/>
      <c r="C48" s="561" t="s">
        <v>108</v>
      </c>
      <c r="D48" s="562"/>
      <c r="E48" s="106">
        <f>Eingabe!H28</f>
        <v>0</v>
      </c>
      <c r="F48" s="212">
        <f t="shared" si="11"/>
        <v>0</v>
      </c>
      <c r="G48" s="141"/>
      <c r="H48" s="106">
        <f>'c.3) Anlagegüter'!M21</f>
        <v>0</v>
      </c>
      <c r="I48" s="106">
        <f>'c.3) Anlagegüter'!N21</f>
        <v>0</v>
      </c>
      <c r="J48" s="106">
        <f>'c.3) Anlagegüter'!O21</f>
        <v>0</v>
      </c>
      <c r="K48" s="106">
        <f>'c.3) Anlagegüter'!P21</f>
        <v>0</v>
      </c>
      <c r="L48" s="106">
        <f t="shared" si="13"/>
        <v>0</v>
      </c>
      <c r="M48" s="212">
        <f t="shared" si="10"/>
        <v>0</v>
      </c>
      <c r="N48" s="169"/>
      <c r="O48" s="106">
        <f>'c.3) Anlagegüter'!R21</f>
        <v>0</v>
      </c>
      <c r="P48" s="106">
        <f>'c.3) Anlagegüter'!S21</f>
        <v>0</v>
      </c>
      <c r="Q48" s="48"/>
    </row>
    <row r="49" spans="2:17" x14ac:dyDescent="0.35">
      <c r="B49" s="45"/>
      <c r="C49" s="553" t="s">
        <v>107</v>
      </c>
      <c r="D49" s="553"/>
      <c r="E49" s="106">
        <f>Eingabe!H29</f>
        <v>0</v>
      </c>
      <c r="F49" s="212">
        <f t="shared" si="11"/>
        <v>0</v>
      </c>
      <c r="G49" s="141"/>
      <c r="H49" s="106">
        <f>'c.4) Unteraufträge'!J21</f>
        <v>0</v>
      </c>
      <c r="I49" s="106">
        <f>'c.4) Unteraufträge'!K21</f>
        <v>0</v>
      </c>
      <c r="J49" s="106">
        <f>'c.4) Unteraufträge'!L21</f>
        <v>0</v>
      </c>
      <c r="K49" s="106">
        <f>'c.4) Unteraufträge'!M21</f>
        <v>0</v>
      </c>
      <c r="L49" s="106">
        <f t="shared" si="13"/>
        <v>0</v>
      </c>
      <c r="M49" s="212">
        <f t="shared" si="10"/>
        <v>0</v>
      </c>
      <c r="N49" s="169"/>
      <c r="O49" s="106">
        <f>'c.4) Unteraufträge'!O21</f>
        <v>0</v>
      </c>
      <c r="P49" s="106">
        <f>'c.4) Unteraufträge'!P21</f>
        <v>0</v>
      </c>
      <c r="Q49" s="48"/>
    </row>
    <row r="50" spans="2:17" ht="14.5" x14ac:dyDescent="0.35">
      <c r="B50" s="45"/>
      <c r="C50" s="547" t="s">
        <v>49</v>
      </c>
      <c r="D50" s="563"/>
      <c r="E50" s="223">
        <f>Eingabe!H30</f>
        <v>0</v>
      </c>
      <c r="F50" s="198">
        <f t="shared" si="11"/>
        <v>0</v>
      </c>
      <c r="G50" s="141"/>
      <c r="H50" s="223">
        <f>'d) Indirekte'!J21</f>
        <v>0</v>
      </c>
      <c r="I50" s="223">
        <f>'d) Indirekte'!K21</f>
        <v>0</v>
      </c>
      <c r="J50" s="223">
        <f>'d) Indirekte'!L21</f>
        <v>0</v>
      </c>
      <c r="K50" s="223">
        <f>'d) Indirekte'!M21</f>
        <v>0</v>
      </c>
      <c r="L50" s="223">
        <f t="shared" si="13"/>
        <v>0</v>
      </c>
      <c r="M50" s="198">
        <f t="shared" si="10"/>
        <v>0</v>
      </c>
      <c r="N50" s="169"/>
      <c r="O50" s="223">
        <f>'d) Indirekte'!O21</f>
        <v>0</v>
      </c>
      <c r="P50" s="223">
        <f>'d) Indirekte'!P21</f>
        <v>0</v>
      </c>
      <c r="Q50" s="48"/>
    </row>
    <row r="51" spans="2:17" ht="15.5" x14ac:dyDescent="0.35">
      <c r="B51" s="45"/>
      <c r="C51" s="560" t="s">
        <v>24</v>
      </c>
      <c r="D51" s="560"/>
      <c r="E51" s="226">
        <f>Eingabe!H31</f>
        <v>0</v>
      </c>
      <c r="F51" s="207">
        <f t="shared" si="11"/>
        <v>0</v>
      </c>
      <c r="G51" s="141"/>
      <c r="H51" s="226">
        <f>H40+H50</f>
        <v>0</v>
      </c>
      <c r="I51" s="226">
        <f t="shared" ref="I51:K51" si="15">I40+I50</f>
        <v>0</v>
      </c>
      <c r="J51" s="226">
        <f t="shared" si="15"/>
        <v>0</v>
      </c>
      <c r="K51" s="226">
        <f t="shared" si="15"/>
        <v>0</v>
      </c>
      <c r="L51" s="226">
        <f t="shared" si="13"/>
        <v>0</v>
      </c>
      <c r="M51" s="207">
        <f t="shared" si="10"/>
        <v>0</v>
      </c>
      <c r="N51" s="169"/>
      <c r="O51" s="226">
        <f>O40+O50</f>
        <v>0</v>
      </c>
      <c r="P51" s="226">
        <f>P40+P50</f>
        <v>0</v>
      </c>
      <c r="Q51" s="48"/>
    </row>
    <row r="52" spans="2:17" x14ac:dyDescent="0.35">
      <c r="B52" s="45"/>
      <c r="C52" s="169"/>
      <c r="D52" s="169"/>
      <c r="E52" s="169"/>
      <c r="F52" s="141"/>
      <c r="G52" s="141"/>
      <c r="H52" s="169"/>
      <c r="I52" s="141"/>
      <c r="J52" s="141"/>
      <c r="K52" s="141"/>
      <c r="L52" s="141"/>
      <c r="M52" s="169"/>
      <c r="N52" s="169"/>
      <c r="O52" s="169"/>
      <c r="P52" s="169"/>
      <c r="Q52" s="48"/>
    </row>
    <row r="53" spans="2:17" ht="29" x14ac:dyDescent="0.35">
      <c r="B53" s="45"/>
      <c r="C53" s="541" t="str">
        <f>Eingabe!I$18&amp;": "&amp;Eingabe!I$19</f>
        <v>Maßnahme 2: keine</v>
      </c>
      <c r="D53" s="541"/>
      <c r="E53" s="257" t="s">
        <v>23</v>
      </c>
      <c r="F53" s="190" t="s">
        <v>22</v>
      </c>
      <c r="G53" s="258"/>
      <c r="H53" s="257" t="s">
        <v>109</v>
      </c>
      <c r="I53" s="257" t="s">
        <v>110</v>
      </c>
      <c r="J53" s="257" t="s">
        <v>111</v>
      </c>
      <c r="K53" s="257" t="s">
        <v>112</v>
      </c>
      <c r="L53" s="257" t="s">
        <v>113</v>
      </c>
      <c r="M53" s="190" t="s">
        <v>43</v>
      </c>
      <c r="N53" s="259"/>
      <c r="O53" s="192" t="s">
        <v>19</v>
      </c>
      <c r="P53" s="193" t="s">
        <v>10</v>
      </c>
      <c r="Q53" s="48"/>
    </row>
    <row r="54" spans="2:17" ht="14.5" x14ac:dyDescent="0.35">
      <c r="B54" s="45"/>
      <c r="C54" s="542" t="s">
        <v>27</v>
      </c>
      <c r="D54" s="542"/>
      <c r="E54" s="223">
        <f>Eingabe!I20</f>
        <v>0</v>
      </c>
      <c r="F54" s="198">
        <f>IF($E$28=0,0,E54/$E$51)</f>
        <v>0</v>
      </c>
      <c r="G54" s="258"/>
      <c r="H54" s="223">
        <f>H55+H58+H59</f>
        <v>0</v>
      </c>
      <c r="I54" s="223">
        <f t="shared" ref="I54" si="16">I55+I58+I59</f>
        <v>0</v>
      </c>
      <c r="J54" s="223">
        <f t="shared" ref="J54" si="17">J55+J58+J59</f>
        <v>0</v>
      </c>
      <c r="K54" s="223">
        <f t="shared" ref="K54" si="18">K55+K58+K59</f>
        <v>0</v>
      </c>
      <c r="L54" s="223">
        <f>SUM(H54:K54)</f>
        <v>0</v>
      </c>
      <c r="M54" s="198">
        <f t="shared" ref="M54:M65" si="19">IF(E54=0,0,L54/E54)</f>
        <v>0</v>
      </c>
      <c r="N54" s="259"/>
      <c r="O54" s="223">
        <f>IF(Eingabe!$Q$45="ja",SUM(O55+O58+O59),Overview!$AA$15)</f>
        <v>0</v>
      </c>
      <c r="P54" s="223">
        <f>IF(Eingabe!$Q$45="ja",L54-O54,Overview!$AA$15)</f>
        <v>0</v>
      </c>
      <c r="Q54" s="48"/>
    </row>
    <row r="55" spans="2:17" x14ac:dyDescent="0.35">
      <c r="B55" s="45"/>
      <c r="C55" s="552" t="s">
        <v>6</v>
      </c>
      <c r="D55" s="552"/>
      <c r="E55" s="203">
        <f>Eingabe!I21</f>
        <v>0</v>
      </c>
      <c r="F55" s="207">
        <f t="shared" ref="F55:F65" si="20">IF($E$28=0,0,E55/$E$51)</f>
        <v>0</v>
      </c>
      <c r="G55" s="258"/>
      <c r="H55" s="203">
        <f>H56+H57</f>
        <v>0</v>
      </c>
      <c r="I55" s="203">
        <f t="shared" ref="I55:K55" si="21">I56+I57</f>
        <v>0</v>
      </c>
      <c r="J55" s="203">
        <f t="shared" si="21"/>
        <v>0</v>
      </c>
      <c r="K55" s="203">
        <f t="shared" si="21"/>
        <v>0</v>
      </c>
      <c r="L55" s="203">
        <f t="shared" ref="L55:L65" si="22">SUM(H55:K55)</f>
        <v>0</v>
      </c>
      <c r="M55" s="207">
        <f t="shared" si="19"/>
        <v>0</v>
      </c>
      <c r="N55" s="259"/>
      <c r="O55" s="203">
        <f>IF(Eingabe!$Q$45="ja",O56+O57,Overview!$AA$15)</f>
        <v>0</v>
      </c>
      <c r="P55" s="203">
        <f>IF(Eingabe!$Q$45="ja",L55-O55,Overview!$AA$15)</f>
        <v>0</v>
      </c>
      <c r="Q55" s="48"/>
    </row>
    <row r="56" spans="2:17" x14ac:dyDescent="0.35">
      <c r="B56" s="45"/>
      <c r="C56" s="553" t="s">
        <v>26</v>
      </c>
      <c r="D56" s="553"/>
      <c r="E56" s="106">
        <f>Eingabe!I22</f>
        <v>0</v>
      </c>
      <c r="F56" s="212">
        <f t="shared" si="20"/>
        <v>0</v>
      </c>
      <c r="G56" s="141"/>
      <c r="H56" s="106">
        <f>'a.1) Angestellte'!R22</f>
        <v>0</v>
      </c>
      <c r="I56" s="106">
        <f>'a.1) Angestellte'!S22</f>
        <v>0</v>
      </c>
      <c r="J56" s="106">
        <f>'a.1) Angestellte'!T22</f>
        <v>0</v>
      </c>
      <c r="K56" s="106">
        <f>'a.1) Angestellte'!U22</f>
        <v>0</v>
      </c>
      <c r="L56" s="106">
        <f t="shared" si="22"/>
        <v>0</v>
      </c>
      <c r="M56" s="212">
        <f t="shared" si="19"/>
        <v>0</v>
      </c>
      <c r="N56" s="169"/>
      <c r="O56" s="106">
        <f>'a.1) Angestellte'!W22</f>
        <v>0</v>
      </c>
      <c r="P56" s="106">
        <f>'a.1) Angestellte'!X22</f>
        <v>0</v>
      </c>
      <c r="Q56" s="48"/>
    </row>
    <row r="57" spans="2:17" x14ac:dyDescent="0.35">
      <c r="B57" s="45"/>
      <c r="C57" s="553" t="s">
        <v>103</v>
      </c>
      <c r="D57" s="553"/>
      <c r="E57" s="106">
        <f>Eingabe!I23</f>
        <v>0</v>
      </c>
      <c r="F57" s="212">
        <f t="shared" si="20"/>
        <v>0</v>
      </c>
      <c r="G57" s="141"/>
      <c r="H57" s="106">
        <f>'a.2) Freie DN'!R22</f>
        <v>0</v>
      </c>
      <c r="I57" s="106">
        <f>'a.2) Freie DN'!S22</f>
        <v>0</v>
      </c>
      <c r="J57" s="106">
        <f>'a.2) Freie DN'!T22</f>
        <v>0</v>
      </c>
      <c r="K57" s="106">
        <f>'a.2) Freie DN'!U22</f>
        <v>0</v>
      </c>
      <c r="L57" s="106">
        <f t="shared" si="22"/>
        <v>0</v>
      </c>
      <c r="M57" s="212">
        <f t="shared" si="19"/>
        <v>0</v>
      </c>
      <c r="N57" s="169"/>
      <c r="O57" s="106">
        <f>'a.2) Freie DN'!W22</f>
        <v>0</v>
      </c>
      <c r="P57" s="106">
        <f>'a.2) Freie DN'!X22</f>
        <v>0</v>
      </c>
      <c r="Q57" s="48"/>
    </row>
    <row r="58" spans="2:17" x14ac:dyDescent="0.35">
      <c r="B58" s="45"/>
      <c r="C58" s="524" t="s">
        <v>15</v>
      </c>
      <c r="D58" s="524"/>
      <c r="E58" s="216">
        <f>Eingabe!I24</f>
        <v>0</v>
      </c>
      <c r="F58" s="198">
        <f t="shared" si="20"/>
        <v>0</v>
      </c>
      <c r="G58" s="141"/>
      <c r="H58" s="216">
        <f>'b) Reisekosten'!J22</f>
        <v>0</v>
      </c>
      <c r="I58" s="216">
        <f>'b) Reisekosten'!K22</f>
        <v>0</v>
      </c>
      <c r="J58" s="216">
        <f>'b) Reisekosten'!L22</f>
        <v>0</v>
      </c>
      <c r="K58" s="216">
        <f>'b) Reisekosten'!M22</f>
        <v>0</v>
      </c>
      <c r="L58" s="216">
        <f t="shared" si="22"/>
        <v>0</v>
      </c>
      <c r="M58" s="198">
        <f t="shared" si="19"/>
        <v>0</v>
      </c>
      <c r="N58" s="169"/>
      <c r="O58" s="216">
        <f>'b) Reisekosten'!O22</f>
        <v>0</v>
      </c>
      <c r="P58" s="216">
        <f>'b) Reisekosten'!P22</f>
        <v>0</v>
      </c>
      <c r="Q58" s="48"/>
    </row>
    <row r="59" spans="2:17" x14ac:dyDescent="0.35">
      <c r="B59" s="45"/>
      <c r="C59" s="552" t="s">
        <v>16</v>
      </c>
      <c r="D59" s="552"/>
      <c r="E59" s="203">
        <f>Eingabe!I25</f>
        <v>0</v>
      </c>
      <c r="F59" s="207">
        <f t="shared" si="20"/>
        <v>0</v>
      </c>
      <c r="G59" s="141"/>
      <c r="H59" s="203">
        <f>SUM(H60:H63)</f>
        <v>0</v>
      </c>
      <c r="I59" s="203">
        <f t="shared" ref="I59:K59" si="23">SUM(I60:I63)</f>
        <v>0</v>
      </c>
      <c r="J59" s="203">
        <f t="shared" si="23"/>
        <v>0</v>
      </c>
      <c r="K59" s="203">
        <f t="shared" si="23"/>
        <v>0</v>
      </c>
      <c r="L59" s="203">
        <f t="shared" si="22"/>
        <v>0</v>
      </c>
      <c r="M59" s="207">
        <f t="shared" si="19"/>
        <v>0</v>
      </c>
      <c r="N59" s="169"/>
      <c r="O59" s="203">
        <f>O60+O61+O62+O63</f>
        <v>0</v>
      </c>
      <c r="P59" s="203">
        <f>P60+P61+P62+P63</f>
        <v>0</v>
      </c>
      <c r="Q59" s="48"/>
    </row>
    <row r="60" spans="2:17" ht="14.5" x14ac:dyDescent="0.35">
      <c r="B60" s="45"/>
      <c r="C60" s="561" t="s">
        <v>25</v>
      </c>
      <c r="D60" s="562"/>
      <c r="E60" s="106">
        <f>Eingabe!I26</f>
        <v>0</v>
      </c>
      <c r="F60" s="212">
        <f t="shared" si="20"/>
        <v>0</v>
      </c>
      <c r="G60" s="141"/>
      <c r="H60" s="106">
        <f>'c.1) Immobilien'!J22</f>
        <v>0</v>
      </c>
      <c r="I60" s="106">
        <f>'c.1) Immobilien'!K22</f>
        <v>0</v>
      </c>
      <c r="J60" s="106">
        <f>'c.1) Immobilien'!L22</f>
        <v>0</v>
      </c>
      <c r="K60" s="106">
        <f>'c.1) Immobilien'!M22</f>
        <v>0</v>
      </c>
      <c r="L60" s="106">
        <f t="shared" si="22"/>
        <v>0</v>
      </c>
      <c r="M60" s="212">
        <f t="shared" si="19"/>
        <v>0</v>
      </c>
      <c r="N60" s="169"/>
      <c r="O60" s="106">
        <f>'c.1) Immobilien'!O22</f>
        <v>0</v>
      </c>
      <c r="P60" s="106">
        <f>'c.1) Immobilien'!P22</f>
        <v>0</v>
      </c>
      <c r="Q60" s="48"/>
    </row>
    <row r="61" spans="2:17" ht="14.5" x14ac:dyDescent="0.35">
      <c r="B61" s="45"/>
      <c r="C61" s="561" t="s">
        <v>106</v>
      </c>
      <c r="D61" s="562"/>
      <c r="E61" s="106">
        <f>Eingabe!I27</f>
        <v>0</v>
      </c>
      <c r="F61" s="212">
        <f t="shared" si="20"/>
        <v>0</v>
      </c>
      <c r="G61" s="141"/>
      <c r="H61" s="106">
        <f>'c.2) Sonstige'!J22</f>
        <v>0</v>
      </c>
      <c r="I61" s="106">
        <f>'c.2) Sonstige'!K22</f>
        <v>0</v>
      </c>
      <c r="J61" s="106">
        <f>'c.2) Sonstige'!L22</f>
        <v>0</v>
      </c>
      <c r="K61" s="106">
        <f>'c.2) Sonstige'!M22</f>
        <v>0</v>
      </c>
      <c r="L61" s="106">
        <f t="shared" si="22"/>
        <v>0</v>
      </c>
      <c r="M61" s="212">
        <f t="shared" si="19"/>
        <v>0</v>
      </c>
      <c r="N61" s="169"/>
      <c r="O61" s="106">
        <f>'c.2) Sonstige'!O22</f>
        <v>0</v>
      </c>
      <c r="P61" s="106">
        <f>'c.2) Sonstige'!P22</f>
        <v>0</v>
      </c>
      <c r="Q61" s="48"/>
    </row>
    <row r="62" spans="2:17" ht="14.5" x14ac:dyDescent="0.35">
      <c r="B62" s="45"/>
      <c r="C62" s="561" t="s">
        <v>108</v>
      </c>
      <c r="D62" s="562"/>
      <c r="E62" s="106">
        <f>Eingabe!I28</f>
        <v>0</v>
      </c>
      <c r="F62" s="212">
        <f t="shared" si="20"/>
        <v>0</v>
      </c>
      <c r="G62" s="141"/>
      <c r="H62" s="106">
        <f>'c.3) Anlagegüter'!M22</f>
        <v>0</v>
      </c>
      <c r="I62" s="106">
        <f>'c.3) Anlagegüter'!N22</f>
        <v>0</v>
      </c>
      <c r="J62" s="106">
        <f>'c.3) Anlagegüter'!O22</f>
        <v>0</v>
      </c>
      <c r="K62" s="106">
        <f>'c.3) Anlagegüter'!P22</f>
        <v>0</v>
      </c>
      <c r="L62" s="106">
        <f t="shared" si="22"/>
        <v>0</v>
      </c>
      <c r="M62" s="212">
        <f t="shared" si="19"/>
        <v>0</v>
      </c>
      <c r="N62" s="169"/>
      <c r="O62" s="106">
        <f>'c.3) Anlagegüter'!R22</f>
        <v>0</v>
      </c>
      <c r="P62" s="106">
        <f>'c.3) Anlagegüter'!S22</f>
        <v>0</v>
      </c>
      <c r="Q62" s="48"/>
    </row>
    <row r="63" spans="2:17" x14ac:dyDescent="0.35">
      <c r="B63" s="45"/>
      <c r="C63" s="553" t="s">
        <v>107</v>
      </c>
      <c r="D63" s="553"/>
      <c r="E63" s="106">
        <f>Eingabe!I29</f>
        <v>0</v>
      </c>
      <c r="F63" s="212">
        <f t="shared" si="20"/>
        <v>0</v>
      </c>
      <c r="G63" s="141"/>
      <c r="H63" s="106">
        <f>'c.4) Unteraufträge'!J22</f>
        <v>0</v>
      </c>
      <c r="I63" s="106">
        <f>'c.4) Unteraufträge'!K22</f>
        <v>0</v>
      </c>
      <c r="J63" s="106">
        <f>'c.4) Unteraufträge'!L22</f>
        <v>0</v>
      </c>
      <c r="K63" s="106">
        <f>'c.4) Unteraufträge'!M22</f>
        <v>0</v>
      </c>
      <c r="L63" s="106">
        <f t="shared" si="22"/>
        <v>0</v>
      </c>
      <c r="M63" s="212">
        <f t="shared" si="19"/>
        <v>0</v>
      </c>
      <c r="N63" s="169"/>
      <c r="O63" s="106">
        <f>'c.4) Unteraufträge'!O22</f>
        <v>0</v>
      </c>
      <c r="P63" s="106">
        <f>'c.4) Unteraufträge'!P22</f>
        <v>0</v>
      </c>
      <c r="Q63" s="48"/>
    </row>
    <row r="64" spans="2:17" ht="14.5" x14ac:dyDescent="0.35">
      <c r="B64" s="45"/>
      <c r="C64" s="547" t="s">
        <v>49</v>
      </c>
      <c r="D64" s="563"/>
      <c r="E64" s="223">
        <f>Eingabe!I30</f>
        <v>0</v>
      </c>
      <c r="F64" s="198">
        <f t="shared" si="20"/>
        <v>0</v>
      </c>
      <c r="G64" s="141"/>
      <c r="H64" s="223">
        <f>'d) Indirekte'!J22</f>
        <v>0</v>
      </c>
      <c r="I64" s="223">
        <f>'d) Indirekte'!K22</f>
        <v>0</v>
      </c>
      <c r="J64" s="223">
        <f>'d) Indirekte'!L22</f>
        <v>0</v>
      </c>
      <c r="K64" s="223">
        <f>'d) Indirekte'!M22</f>
        <v>0</v>
      </c>
      <c r="L64" s="223">
        <f t="shared" si="22"/>
        <v>0</v>
      </c>
      <c r="M64" s="198">
        <f t="shared" si="19"/>
        <v>0</v>
      </c>
      <c r="N64" s="169"/>
      <c r="O64" s="223">
        <f>'d) Indirekte'!O22</f>
        <v>0</v>
      </c>
      <c r="P64" s="223">
        <f>'d) Indirekte'!P22</f>
        <v>0</v>
      </c>
      <c r="Q64" s="48"/>
    </row>
    <row r="65" spans="2:17" ht="15.5" x14ac:dyDescent="0.35">
      <c r="B65" s="45"/>
      <c r="C65" s="560" t="s">
        <v>24</v>
      </c>
      <c r="D65" s="560"/>
      <c r="E65" s="226">
        <f>Eingabe!I31</f>
        <v>0</v>
      </c>
      <c r="F65" s="207">
        <f t="shared" si="20"/>
        <v>0</v>
      </c>
      <c r="G65" s="141"/>
      <c r="H65" s="226">
        <f>H54+H64</f>
        <v>0</v>
      </c>
      <c r="I65" s="226">
        <f t="shared" ref="I65:K65" si="24">I54+I64</f>
        <v>0</v>
      </c>
      <c r="J65" s="226">
        <f t="shared" si="24"/>
        <v>0</v>
      </c>
      <c r="K65" s="226">
        <f t="shared" si="24"/>
        <v>0</v>
      </c>
      <c r="L65" s="226">
        <f t="shared" si="22"/>
        <v>0</v>
      </c>
      <c r="M65" s="207">
        <f t="shared" si="19"/>
        <v>0</v>
      </c>
      <c r="N65" s="169"/>
      <c r="O65" s="226">
        <f>O54+O64</f>
        <v>0</v>
      </c>
      <c r="P65" s="226">
        <f>P54+P64</f>
        <v>0</v>
      </c>
      <c r="Q65" s="48"/>
    </row>
    <row r="66" spans="2:17" x14ac:dyDescent="0.35">
      <c r="B66" s="45"/>
      <c r="C66" s="169"/>
      <c r="D66" s="169"/>
      <c r="E66" s="169"/>
      <c r="F66" s="141"/>
      <c r="G66" s="141"/>
      <c r="H66" s="169"/>
      <c r="I66" s="141"/>
      <c r="J66" s="141"/>
      <c r="K66" s="141"/>
      <c r="L66" s="141"/>
      <c r="M66" s="169"/>
      <c r="N66" s="169"/>
      <c r="O66" s="169"/>
      <c r="P66" s="169"/>
      <c r="Q66" s="48"/>
    </row>
    <row r="67" spans="2:17" ht="29" x14ac:dyDescent="0.35">
      <c r="B67" s="45"/>
      <c r="C67" s="541" t="str">
        <f>Eingabe!J$18&amp;": "&amp;Eingabe!J$19</f>
        <v>Maßnahme 3: keine</v>
      </c>
      <c r="D67" s="541"/>
      <c r="E67" s="257" t="s">
        <v>23</v>
      </c>
      <c r="F67" s="190" t="s">
        <v>22</v>
      </c>
      <c r="G67" s="258"/>
      <c r="H67" s="257" t="s">
        <v>109</v>
      </c>
      <c r="I67" s="257" t="s">
        <v>110</v>
      </c>
      <c r="J67" s="257" t="s">
        <v>111</v>
      </c>
      <c r="K67" s="257" t="s">
        <v>112</v>
      </c>
      <c r="L67" s="257" t="s">
        <v>113</v>
      </c>
      <c r="M67" s="190" t="s">
        <v>43</v>
      </c>
      <c r="N67" s="259"/>
      <c r="O67" s="192" t="s">
        <v>19</v>
      </c>
      <c r="P67" s="193" t="s">
        <v>10</v>
      </c>
      <c r="Q67" s="48"/>
    </row>
    <row r="68" spans="2:17" ht="14.5" x14ac:dyDescent="0.35">
      <c r="B68" s="45"/>
      <c r="C68" s="542" t="s">
        <v>27</v>
      </c>
      <c r="D68" s="542"/>
      <c r="E68" s="223">
        <f>Eingabe!J20</f>
        <v>0</v>
      </c>
      <c r="F68" s="198">
        <f>IF($E$28=0,0,E68/$E$51)</f>
        <v>0</v>
      </c>
      <c r="G68" s="258"/>
      <c r="H68" s="223">
        <f>H69+H72+H73</f>
        <v>0</v>
      </c>
      <c r="I68" s="223">
        <f t="shared" ref="I68" si="25">I69+I72+I73</f>
        <v>0</v>
      </c>
      <c r="J68" s="223">
        <f t="shared" ref="J68" si="26">J69+J72+J73</f>
        <v>0</v>
      </c>
      <c r="K68" s="223">
        <f t="shared" ref="K68" si="27">K69+K72+K73</f>
        <v>0</v>
      </c>
      <c r="L68" s="223">
        <f>SUM(H68:K68)</f>
        <v>0</v>
      </c>
      <c r="M68" s="198">
        <f t="shared" ref="M68:M79" si="28">IF(E68=0,0,L68/E68)</f>
        <v>0</v>
      </c>
      <c r="N68" s="259"/>
      <c r="O68" s="223">
        <f>IF(Eingabe!$Q$45="ja",SUM(O69+O72+O73),Overview!$AA$15)</f>
        <v>0</v>
      </c>
      <c r="P68" s="223">
        <f>IF(Eingabe!$Q$45="ja",L68-O68,Overview!$AA$15)</f>
        <v>0</v>
      </c>
      <c r="Q68" s="48"/>
    </row>
    <row r="69" spans="2:17" x14ac:dyDescent="0.35">
      <c r="B69" s="45"/>
      <c r="C69" s="552" t="s">
        <v>6</v>
      </c>
      <c r="D69" s="552"/>
      <c r="E69" s="203">
        <f>Eingabe!J21</f>
        <v>0</v>
      </c>
      <c r="F69" s="207">
        <f t="shared" ref="F69:F79" si="29">IF($E$28=0,0,E69/$E$51)</f>
        <v>0</v>
      </c>
      <c r="G69" s="258"/>
      <c r="H69" s="203">
        <f>H70+H71</f>
        <v>0</v>
      </c>
      <c r="I69" s="203">
        <f t="shared" ref="I69:K69" si="30">I70+I71</f>
        <v>0</v>
      </c>
      <c r="J69" s="203">
        <f t="shared" si="30"/>
        <v>0</v>
      </c>
      <c r="K69" s="203">
        <f t="shared" si="30"/>
        <v>0</v>
      </c>
      <c r="L69" s="203">
        <f t="shared" ref="L69:L79" si="31">SUM(H69:K69)</f>
        <v>0</v>
      </c>
      <c r="M69" s="207">
        <f t="shared" si="28"/>
        <v>0</v>
      </c>
      <c r="N69" s="259"/>
      <c r="O69" s="203">
        <f>IF(Eingabe!$Q$45="ja",O70+O71,Overview!$AA$15)</f>
        <v>0</v>
      </c>
      <c r="P69" s="203">
        <f>IF(Eingabe!$Q$45="ja",L69-O69,Overview!$AA$15)</f>
        <v>0</v>
      </c>
      <c r="Q69" s="48"/>
    </row>
    <row r="70" spans="2:17" x14ac:dyDescent="0.35">
      <c r="B70" s="45"/>
      <c r="C70" s="553" t="s">
        <v>26</v>
      </c>
      <c r="D70" s="553"/>
      <c r="E70" s="106">
        <f>Eingabe!J22</f>
        <v>0</v>
      </c>
      <c r="F70" s="212">
        <f t="shared" si="29"/>
        <v>0</v>
      </c>
      <c r="G70" s="141"/>
      <c r="H70" s="106">
        <f>'a.1) Angestellte'!R23</f>
        <v>0</v>
      </c>
      <c r="I70" s="106">
        <f>'a.1) Angestellte'!S23</f>
        <v>0</v>
      </c>
      <c r="J70" s="106">
        <f>'a.1) Angestellte'!T23</f>
        <v>0</v>
      </c>
      <c r="K70" s="106">
        <f>'a.1) Angestellte'!U23</f>
        <v>0</v>
      </c>
      <c r="L70" s="106">
        <f t="shared" si="31"/>
        <v>0</v>
      </c>
      <c r="M70" s="212">
        <f t="shared" si="28"/>
        <v>0</v>
      </c>
      <c r="N70" s="169"/>
      <c r="O70" s="106">
        <f>'a.1) Angestellte'!W23</f>
        <v>0</v>
      </c>
      <c r="P70" s="106">
        <f>'a.1) Angestellte'!X23</f>
        <v>0</v>
      </c>
      <c r="Q70" s="48"/>
    </row>
    <row r="71" spans="2:17" x14ac:dyDescent="0.35">
      <c r="B71" s="45"/>
      <c r="C71" s="553" t="s">
        <v>103</v>
      </c>
      <c r="D71" s="553"/>
      <c r="E71" s="106">
        <f>Eingabe!J23</f>
        <v>0</v>
      </c>
      <c r="F71" s="212">
        <f t="shared" si="29"/>
        <v>0</v>
      </c>
      <c r="G71" s="141"/>
      <c r="H71" s="106">
        <f>'a.2) Freie DN'!R23</f>
        <v>0</v>
      </c>
      <c r="I71" s="106">
        <f>'a.2) Freie DN'!S23</f>
        <v>0</v>
      </c>
      <c r="J71" s="106">
        <f>'a.2) Freie DN'!T23</f>
        <v>0</v>
      </c>
      <c r="K71" s="106">
        <f>'a.2) Freie DN'!U23</f>
        <v>0</v>
      </c>
      <c r="L71" s="106">
        <f t="shared" si="31"/>
        <v>0</v>
      </c>
      <c r="M71" s="212">
        <f t="shared" si="28"/>
        <v>0</v>
      </c>
      <c r="N71" s="169"/>
      <c r="O71" s="106">
        <f>'a.2) Freie DN'!W23</f>
        <v>0</v>
      </c>
      <c r="P71" s="106">
        <f>'a.2) Freie DN'!X23</f>
        <v>0</v>
      </c>
      <c r="Q71" s="48"/>
    </row>
    <row r="72" spans="2:17" x14ac:dyDescent="0.35">
      <c r="B72" s="45"/>
      <c r="C72" s="524" t="s">
        <v>15</v>
      </c>
      <c r="D72" s="524"/>
      <c r="E72" s="216">
        <f>Eingabe!J24</f>
        <v>0</v>
      </c>
      <c r="F72" s="198">
        <f t="shared" si="29"/>
        <v>0</v>
      </c>
      <c r="G72" s="141"/>
      <c r="H72" s="216">
        <f>'b) Reisekosten'!J23</f>
        <v>0</v>
      </c>
      <c r="I72" s="216">
        <f>'b) Reisekosten'!K23</f>
        <v>0</v>
      </c>
      <c r="J72" s="216">
        <f>'b) Reisekosten'!L23</f>
        <v>0</v>
      </c>
      <c r="K72" s="216">
        <f>'b) Reisekosten'!M23</f>
        <v>0</v>
      </c>
      <c r="L72" s="216">
        <f t="shared" si="31"/>
        <v>0</v>
      </c>
      <c r="M72" s="198">
        <f t="shared" si="28"/>
        <v>0</v>
      </c>
      <c r="N72" s="169"/>
      <c r="O72" s="216">
        <f>'b) Reisekosten'!O23</f>
        <v>0</v>
      </c>
      <c r="P72" s="216">
        <f>'b) Reisekosten'!P23</f>
        <v>0</v>
      </c>
      <c r="Q72" s="48"/>
    </row>
    <row r="73" spans="2:17" x14ac:dyDescent="0.35">
      <c r="B73" s="45"/>
      <c r="C73" s="552" t="s">
        <v>16</v>
      </c>
      <c r="D73" s="552"/>
      <c r="E73" s="203">
        <f>Eingabe!J25</f>
        <v>0</v>
      </c>
      <c r="F73" s="207">
        <f t="shared" si="29"/>
        <v>0</v>
      </c>
      <c r="G73" s="141"/>
      <c r="H73" s="203">
        <f>SUM(H74:H77)</f>
        <v>0</v>
      </c>
      <c r="I73" s="203">
        <f t="shared" ref="I73:K73" si="32">SUM(I74:I77)</f>
        <v>0</v>
      </c>
      <c r="J73" s="203">
        <f t="shared" si="32"/>
        <v>0</v>
      </c>
      <c r="K73" s="203">
        <f t="shared" si="32"/>
        <v>0</v>
      </c>
      <c r="L73" s="203">
        <f t="shared" si="31"/>
        <v>0</v>
      </c>
      <c r="M73" s="207">
        <f t="shared" si="28"/>
        <v>0</v>
      </c>
      <c r="N73" s="169"/>
      <c r="O73" s="203">
        <f>O74+O75+O76+O77</f>
        <v>0</v>
      </c>
      <c r="P73" s="203">
        <f>P74+P75+P76+P77</f>
        <v>0</v>
      </c>
      <c r="Q73" s="48"/>
    </row>
    <row r="74" spans="2:17" ht="14.5" x14ac:dyDescent="0.35">
      <c r="B74" s="45"/>
      <c r="C74" s="561" t="s">
        <v>25</v>
      </c>
      <c r="D74" s="562"/>
      <c r="E74" s="106">
        <f>Eingabe!J26</f>
        <v>0</v>
      </c>
      <c r="F74" s="212">
        <f t="shared" si="29"/>
        <v>0</v>
      </c>
      <c r="G74" s="141"/>
      <c r="H74" s="106">
        <f>'c.1) Immobilien'!J23</f>
        <v>0</v>
      </c>
      <c r="I74" s="106">
        <f>'c.1) Immobilien'!K23</f>
        <v>0</v>
      </c>
      <c r="J74" s="106">
        <f>'c.1) Immobilien'!L23</f>
        <v>0</v>
      </c>
      <c r="K74" s="106">
        <f>'c.1) Immobilien'!M23</f>
        <v>0</v>
      </c>
      <c r="L74" s="106">
        <f t="shared" si="31"/>
        <v>0</v>
      </c>
      <c r="M74" s="212">
        <f t="shared" si="28"/>
        <v>0</v>
      </c>
      <c r="N74" s="169"/>
      <c r="O74" s="106">
        <f>'c.1) Immobilien'!O23</f>
        <v>0</v>
      </c>
      <c r="P74" s="106">
        <f>'c.1) Immobilien'!P23</f>
        <v>0</v>
      </c>
      <c r="Q74" s="48"/>
    </row>
    <row r="75" spans="2:17" ht="14.5" x14ac:dyDescent="0.35">
      <c r="B75" s="45"/>
      <c r="C75" s="561" t="s">
        <v>106</v>
      </c>
      <c r="D75" s="562"/>
      <c r="E75" s="106">
        <f>Eingabe!J27</f>
        <v>0</v>
      </c>
      <c r="F75" s="212">
        <f t="shared" si="29"/>
        <v>0</v>
      </c>
      <c r="G75" s="141"/>
      <c r="H75" s="106">
        <f>'c.2) Sonstige'!J23</f>
        <v>0</v>
      </c>
      <c r="I75" s="106">
        <f>'c.2) Sonstige'!K23</f>
        <v>0</v>
      </c>
      <c r="J75" s="106">
        <f>'c.2) Sonstige'!L23</f>
        <v>0</v>
      </c>
      <c r="K75" s="106">
        <f>'c.2) Sonstige'!M23</f>
        <v>0</v>
      </c>
      <c r="L75" s="106">
        <f t="shared" si="31"/>
        <v>0</v>
      </c>
      <c r="M75" s="212">
        <f t="shared" si="28"/>
        <v>0</v>
      </c>
      <c r="N75" s="169"/>
      <c r="O75" s="106">
        <f>'c.2) Sonstige'!O23</f>
        <v>0</v>
      </c>
      <c r="P75" s="106">
        <f>'c.2) Sonstige'!P23</f>
        <v>0</v>
      </c>
      <c r="Q75" s="48"/>
    </row>
    <row r="76" spans="2:17" ht="14.5" x14ac:dyDescent="0.35">
      <c r="B76" s="45"/>
      <c r="C76" s="561" t="s">
        <v>108</v>
      </c>
      <c r="D76" s="562"/>
      <c r="E76" s="106">
        <f>Eingabe!J28</f>
        <v>0</v>
      </c>
      <c r="F76" s="212">
        <f t="shared" si="29"/>
        <v>0</v>
      </c>
      <c r="G76" s="141"/>
      <c r="H76" s="106">
        <f>'c.3) Anlagegüter'!M23</f>
        <v>0</v>
      </c>
      <c r="I76" s="106">
        <f>'c.3) Anlagegüter'!N23</f>
        <v>0</v>
      </c>
      <c r="J76" s="106">
        <f>'c.3) Anlagegüter'!O23</f>
        <v>0</v>
      </c>
      <c r="K76" s="106">
        <f>'c.3) Anlagegüter'!P23</f>
        <v>0</v>
      </c>
      <c r="L76" s="106">
        <f t="shared" si="31"/>
        <v>0</v>
      </c>
      <c r="M76" s="212">
        <f t="shared" si="28"/>
        <v>0</v>
      </c>
      <c r="N76" s="169"/>
      <c r="O76" s="106">
        <f>'c.3) Anlagegüter'!R23</f>
        <v>0</v>
      </c>
      <c r="P76" s="106">
        <f>'c.3) Anlagegüter'!S23</f>
        <v>0</v>
      </c>
      <c r="Q76" s="48"/>
    </row>
    <row r="77" spans="2:17" x14ac:dyDescent="0.35">
      <c r="B77" s="45"/>
      <c r="C77" s="553" t="s">
        <v>107</v>
      </c>
      <c r="D77" s="553"/>
      <c r="E77" s="106">
        <f>Eingabe!J29</f>
        <v>0</v>
      </c>
      <c r="F77" s="212">
        <f t="shared" si="29"/>
        <v>0</v>
      </c>
      <c r="G77" s="141"/>
      <c r="H77" s="106">
        <f>'c.4) Unteraufträge'!J23</f>
        <v>0</v>
      </c>
      <c r="I77" s="106">
        <f>'c.4) Unteraufträge'!K23</f>
        <v>0</v>
      </c>
      <c r="J77" s="106">
        <f>'c.4) Unteraufträge'!L23</f>
        <v>0</v>
      </c>
      <c r="K77" s="106">
        <f>'c.4) Unteraufträge'!M23</f>
        <v>0</v>
      </c>
      <c r="L77" s="106">
        <f t="shared" si="31"/>
        <v>0</v>
      </c>
      <c r="M77" s="212">
        <f t="shared" si="28"/>
        <v>0</v>
      </c>
      <c r="N77" s="169"/>
      <c r="O77" s="106">
        <f>'c.4) Unteraufträge'!O23</f>
        <v>0</v>
      </c>
      <c r="P77" s="106">
        <f>'c.4) Unteraufträge'!P23</f>
        <v>0</v>
      </c>
      <c r="Q77" s="48"/>
    </row>
    <row r="78" spans="2:17" ht="14.5" x14ac:dyDescent="0.35">
      <c r="B78" s="45"/>
      <c r="C78" s="547" t="s">
        <v>49</v>
      </c>
      <c r="D78" s="563"/>
      <c r="E78" s="223">
        <f>Eingabe!J30</f>
        <v>0</v>
      </c>
      <c r="F78" s="198">
        <f t="shared" si="29"/>
        <v>0</v>
      </c>
      <c r="G78" s="141"/>
      <c r="H78" s="223">
        <f>'d) Indirekte'!J23</f>
        <v>0</v>
      </c>
      <c r="I78" s="223">
        <f>'d) Indirekte'!K23</f>
        <v>0</v>
      </c>
      <c r="J78" s="223">
        <f>'d) Indirekte'!L23</f>
        <v>0</v>
      </c>
      <c r="K78" s="223">
        <f>'d) Indirekte'!M23</f>
        <v>0</v>
      </c>
      <c r="L78" s="223">
        <f t="shared" si="31"/>
        <v>0</v>
      </c>
      <c r="M78" s="198">
        <f t="shared" si="28"/>
        <v>0</v>
      </c>
      <c r="N78" s="169"/>
      <c r="O78" s="223">
        <f>'d) Indirekte'!O23</f>
        <v>0</v>
      </c>
      <c r="P78" s="223">
        <f>'d) Indirekte'!P23</f>
        <v>0</v>
      </c>
      <c r="Q78" s="48"/>
    </row>
    <row r="79" spans="2:17" ht="15.5" x14ac:dyDescent="0.35">
      <c r="B79" s="45"/>
      <c r="C79" s="560" t="s">
        <v>24</v>
      </c>
      <c r="D79" s="560"/>
      <c r="E79" s="226">
        <f>Eingabe!J31</f>
        <v>0</v>
      </c>
      <c r="F79" s="207">
        <f t="shared" si="29"/>
        <v>0</v>
      </c>
      <c r="G79" s="141"/>
      <c r="H79" s="226">
        <f>H68+H78</f>
        <v>0</v>
      </c>
      <c r="I79" s="226">
        <f t="shared" ref="I79:K79" si="33">I68+I78</f>
        <v>0</v>
      </c>
      <c r="J79" s="226">
        <f t="shared" si="33"/>
        <v>0</v>
      </c>
      <c r="K79" s="226">
        <f t="shared" si="33"/>
        <v>0</v>
      </c>
      <c r="L79" s="226">
        <f t="shared" si="31"/>
        <v>0</v>
      </c>
      <c r="M79" s="207">
        <f t="shared" si="28"/>
        <v>0</v>
      </c>
      <c r="N79" s="169"/>
      <c r="O79" s="226">
        <f>O68+O78</f>
        <v>0</v>
      </c>
      <c r="P79" s="226">
        <f>P68+P78</f>
        <v>0</v>
      </c>
      <c r="Q79" s="48"/>
    </row>
    <row r="80" spans="2:17" x14ac:dyDescent="0.35">
      <c r="B80" s="45"/>
      <c r="C80" s="169"/>
      <c r="D80" s="169"/>
      <c r="E80" s="169"/>
      <c r="F80" s="141"/>
      <c r="G80" s="141"/>
      <c r="H80" s="169"/>
      <c r="I80" s="141"/>
      <c r="J80" s="141"/>
      <c r="K80" s="141"/>
      <c r="L80" s="141"/>
      <c r="M80" s="169"/>
      <c r="N80" s="169"/>
      <c r="O80" s="169"/>
      <c r="P80" s="169"/>
      <c r="Q80" s="48"/>
    </row>
    <row r="81" spans="2:17" ht="29" x14ac:dyDescent="0.35">
      <c r="B81" s="45"/>
      <c r="C81" s="541" t="str">
        <f>Eingabe!K$18&amp;": "&amp;Eingabe!K$19</f>
        <v>Maßnahme 4: keine</v>
      </c>
      <c r="D81" s="541"/>
      <c r="E81" s="257" t="s">
        <v>23</v>
      </c>
      <c r="F81" s="190" t="s">
        <v>22</v>
      </c>
      <c r="G81" s="258"/>
      <c r="H81" s="257" t="s">
        <v>109</v>
      </c>
      <c r="I81" s="257" t="s">
        <v>110</v>
      </c>
      <c r="J81" s="257" t="s">
        <v>111</v>
      </c>
      <c r="K81" s="257" t="s">
        <v>112</v>
      </c>
      <c r="L81" s="257" t="s">
        <v>113</v>
      </c>
      <c r="M81" s="190" t="s">
        <v>43</v>
      </c>
      <c r="N81" s="259"/>
      <c r="O81" s="192" t="s">
        <v>19</v>
      </c>
      <c r="P81" s="193" t="s">
        <v>10</v>
      </c>
      <c r="Q81" s="48"/>
    </row>
    <row r="82" spans="2:17" ht="14.5" x14ac:dyDescent="0.35">
      <c r="B82" s="45"/>
      <c r="C82" s="542" t="s">
        <v>27</v>
      </c>
      <c r="D82" s="542"/>
      <c r="E82" s="223">
        <f>Eingabe!K20</f>
        <v>0</v>
      </c>
      <c r="F82" s="198">
        <f>IF($E$28=0,0,E82/$E$51)</f>
        <v>0</v>
      </c>
      <c r="G82" s="258"/>
      <c r="H82" s="223">
        <f>H83+H86+H87</f>
        <v>0</v>
      </c>
      <c r="I82" s="223">
        <f t="shared" ref="I82" si="34">I83+I86+I87</f>
        <v>0</v>
      </c>
      <c r="J82" s="223">
        <f t="shared" ref="J82" si="35">J83+J86+J87</f>
        <v>0</v>
      </c>
      <c r="K82" s="223">
        <f t="shared" ref="K82" si="36">K83+K86+K87</f>
        <v>0</v>
      </c>
      <c r="L82" s="223">
        <f>SUM(H82:K82)</f>
        <v>0</v>
      </c>
      <c r="M82" s="198">
        <f t="shared" ref="M82:M93" si="37">IF(E82=0,0,L82/E82)</f>
        <v>0</v>
      </c>
      <c r="N82" s="259"/>
      <c r="O82" s="223">
        <f>IF(Eingabe!$Q$45="ja",SUM(O83+O86+O87),Overview!$AA$15)</f>
        <v>0</v>
      </c>
      <c r="P82" s="223">
        <f>IF(Eingabe!$Q$45="ja",L82-O82,Overview!$AA$15)</f>
        <v>0</v>
      </c>
      <c r="Q82" s="48"/>
    </row>
    <row r="83" spans="2:17" x14ac:dyDescent="0.35">
      <c r="B83" s="45"/>
      <c r="C83" s="552" t="s">
        <v>6</v>
      </c>
      <c r="D83" s="552"/>
      <c r="E83" s="203">
        <f>Eingabe!K21</f>
        <v>0</v>
      </c>
      <c r="F83" s="207">
        <f t="shared" ref="F83:F93" si="38">IF($E$28=0,0,E83/$E$51)</f>
        <v>0</v>
      </c>
      <c r="G83" s="258"/>
      <c r="H83" s="203">
        <f>H84+H85</f>
        <v>0</v>
      </c>
      <c r="I83" s="203">
        <f t="shared" ref="I83:K83" si="39">I84+I85</f>
        <v>0</v>
      </c>
      <c r="J83" s="203">
        <f t="shared" si="39"/>
        <v>0</v>
      </c>
      <c r="K83" s="203">
        <f t="shared" si="39"/>
        <v>0</v>
      </c>
      <c r="L83" s="203">
        <f t="shared" ref="L83:L93" si="40">SUM(H83:K83)</f>
        <v>0</v>
      </c>
      <c r="M83" s="207">
        <f t="shared" si="37"/>
        <v>0</v>
      </c>
      <c r="N83" s="259"/>
      <c r="O83" s="203">
        <f>IF(Eingabe!$Q$45="ja",O84+O85,Overview!$AA$15)</f>
        <v>0</v>
      </c>
      <c r="P83" s="203">
        <f>IF(Eingabe!$Q$45="ja",L83-O83,Overview!$AA$15)</f>
        <v>0</v>
      </c>
      <c r="Q83" s="48"/>
    </row>
    <row r="84" spans="2:17" x14ac:dyDescent="0.35">
      <c r="B84" s="45"/>
      <c r="C84" s="553" t="s">
        <v>26</v>
      </c>
      <c r="D84" s="553"/>
      <c r="E84" s="106">
        <f>Eingabe!K22</f>
        <v>0</v>
      </c>
      <c r="F84" s="212">
        <f t="shared" si="38"/>
        <v>0</v>
      </c>
      <c r="G84" s="141"/>
      <c r="H84" s="106">
        <f>'a.1) Angestellte'!R24</f>
        <v>0</v>
      </c>
      <c r="I84" s="106">
        <f>'a.1) Angestellte'!S24</f>
        <v>0</v>
      </c>
      <c r="J84" s="106">
        <f>'a.1) Angestellte'!T24</f>
        <v>0</v>
      </c>
      <c r="K84" s="106">
        <f>'a.1) Angestellte'!U24</f>
        <v>0</v>
      </c>
      <c r="L84" s="106">
        <f t="shared" si="40"/>
        <v>0</v>
      </c>
      <c r="M84" s="212">
        <f t="shared" si="37"/>
        <v>0</v>
      </c>
      <c r="N84" s="169"/>
      <c r="O84" s="106">
        <f>'a.1) Angestellte'!W24</f>
        <v>0</v>
      </c>
      <c r="P84" s="106">
        <f>'a.1) Angestellte'!X24</f>
        <v>0</v>
      </c>
      <c r="Q84" s="48"/>
    </row>
    <row r="85" spans="2:17" x14ac:dyDescent="0.35">
      <c r="B85" s="45"/>
      <c r="C85" s="553" t="s">
        <v>103</v>
      </c>
      <c r="D85" s="553"/>
      <c r="E85" s="106">
        <f>Eingabe!K23</f>
        <v>0</v>
      </c>
      <c r="F85" s="212">
        <f t="shared" si="38"/>
        <v>0</v>
      </c>
      <c r="G85" s="141"/>
      <c r="H85" s="106">
        <f>'a.2) Freie DN'!R24</f>
        <v>0</v>
      </c>
      <c r="I85" s="106">
        <f>'a.2) Freie DN'!S24</f>
        <v>0</v>
      </c>
      <c r="J85" s="106">
        <f>'a.2) Freie DN'!T24</f>
        <v>0</v>
      </c>
      <c r="K85" s="106">
        <f>'a.2) Freie DN'!U24</f>
        <v>0</v>
      </c>
      <c r="L85" s="106">
        <f t="shared" si="40"/>
        <v>0</v>
      </c>
      <c r="M85" s="212">
        <f t="shared" si="37"/>
        <v>0</v>
      </c>
      <c r="N85" s="169"/>
      <c r="O85" s="106">
        <f>'a.2) Freie DN'!W24</f>
        <v>0</v>
      </c>
      <c r="P85" s="106">
        <f>'a.2) Freie DN'!X24</f>
        <v>0</v>
      </c>
      <c r="Q85" s="48"/>
    </row>
    <row r="86" spans="2:17" x14ac:dyDescent="0.35">
      <c r="B86" s="45"/>
      <c r="C86" s="524" t="s">
        <v>15</v>
      </c>
      <c r="D86" s="524"/>
      <c r="E86" s="216">
        <f>Eingabe!K24</f>
        <v>0</v>
      </c>
      <c r="F86" s="198">
        <f t="shared" si="38"/>
        <v>0</v>
      </c>
      <c r="G86" s="141"/>
      <c r="H86" s="216">
        <f>'b) Reisekosten'!J24</f>
        <v>0</v>
      </c>
      <c r="I86" s="216">
        <f>'b) Reisekosten'!K24</f>
        <v>0</v>
      </c>
      <c r="J86" s="216">
        <f>'b) Reisekosten'!L24</f>
        <v>0</v>
      </c>
      <c r="K86" s="216">
        <f>'b) Reisekosten'!M24</f>
        <v>0</v>
      </c>
      <c r="L86" s="216">
        <f t="shared" si="40"/>
        <v>0</v>
      </c>
      <c r="M86" s="198">
        <f t="shared" si="37"/>
        <v>0</v>
      </c>
      <c r="N86" s="169"/>
      <c r="O86" s="216">
        <f>'b) Reisekosten'!O24</f>
        <v>0</v>
      </c>
      <c r="P86" s="216">
        <f>'b) Reisekosten'!P24</f>
        <v>0</v>
      </c>
      <c r="Q86" s="48"/>
    </row>
    <row r="87" spans="2:17" x14ac:dyDescent="0.35">
      <c r="B87" s="45"/>
      <c r="C87" s="552" t="s">
        <v>16</v>
      </c>
      <c r="D87" s="552"/>
      <c r="E87" s="203">
        <f>Eingabe!K25</f>
        <v>0</v>
      </c>
      <c r="F87" s="207">
        <f t="shared" si="38"/>
        <v>0</v>
      </c>
      <c r="G87" s="141"/>
      <c r="H87" s="203">
        <f>SUM(H88:H91)</f>
        <v>0</v>
      </c>
      <c r="I87" s="203">
        <f t="shared" ref="I87:K87" si="41">SUM(I88:I91)</f>
        <v>0</v>
      </c>
      <c r="J87" s="203">
        <f t="shared" si="41"/>
        <v>0</v>
      </c>
      <c r="K87" s="203">
        <f t="shared" si="41"/>
        <v>0</v>
      </c>
      <c r="L87" s="203">
        <f t="shared" si="40"/>
        <v>0</v>
      </c>
      <c r="M87" s="207">
        <f t="shared" si="37"/>
        <v>0</v>
      </c>
      <c r="N87" s="169"/>
      <c r="O87" s="203">
        <f>O88+O89+O90+O91</f>
        <v>0</v>
      </c>
      <c r="P87" s="203">
        <f>P88+P89+P90+P91</f>
        <v>0</v>
      </c>
      <c r="Q87" s="48"/>
    </row>
    <row r="88" spans="2:17" ht="14.5" x14ac:dyDescent="0.35">
      <c r="B88" s="45"/>
      <c r="C88" s="561" t="s">
        <v>25</v>
      </c>
      <c r="D88" s="562"/>
      <c r="E88" s="106">
        <f>Eingabe!K26</f>
        <v>0</v>
      </c>
      <c r="F88" s="212">
        <f t="shared" si="38"/>
        <v>0</v>
      </c>
      <c r="G88" s="141"/>
      <c r="H88" s="106">
        <f>'c.1) Immobilien'!J24</f>
        <v>0</v>
      </c>
      <c r="I88" s="106">
        <f>'c.1) Immobilien'!K24</f>
        <v>0</v>
      </c>
      <c r="J88" s="106">
        <f>'c.1) Immobilien'!L24</f>
        <v>0</v>
      </c>
      <c r="K88" s="106">
        <f>'c.1) Immobilien'!M24</f>
        <v>0</v>
      </c>
      <c r="L88" s="106">
        <f t="shared" si="40"/>
        <v>0</v>
      </c>
      <c r="M88" s="212">
        <f t="shared" si="37"/>
        <v>0</v>
      </c>
      <c r="N88" s="169"/>
      <c r="O88" s="106">
        <f>'c.1) Immobilien'!O24</f>
        <v>0</v>
      </c>
      <c r="P88" s="106">
        <f>'c.1) Immobilien'!P24</f>
        <v>0</v>
      </c>
      <c r="Q88" s="48"/>
    </row>
    <row r="89" spans="2:17" ht="14.5" x14ac:dyDescent="0.35">
      <c r="B89" s="45"/>
      <c r="C89" s="561" t="s">
        <v>106</v>
      </c>
      <c r="D89" s="562"/>
      <c r="E89" s="106">
        <f>Eingabe!K27</f>
        <v>0</v>
      </c>
      <c r="F89" s="212">
        <f t="shared" si="38"/>
        <v>0</v>
      </c>
      <c r="G89" s="141"/>
      <c r="H89" s="106">
        <f>'c.2) Sonstige'!J24</f>
        <v>0</v>
      </c>
      <c r="I89" s="106">
        <f>'c.2) Sonstige'!K24</f>
        <v>0</v>
      </c>
      <c r="J89" s="106">
        <f>'c.2) Sonstige'!L24</f>
        <v>0</v>
      </c>
      <c r="K89" s="106">
        <f>'c.2) Sonstige'!M24</f>
        <v>0</v>
      </c>
      <c r="L89" s="106">
        <f t="shared" si="40"/>
        <v>0</v>
      </c>
      <c r="M89" s="212">
        <f t="shared" si="37"/>
        <v>0</v>
      </c>
      <c r="N89" s="169"/>
      <c r="O89" s="106">
        <f>'c.2) Sonstige'!O24</f>
        <v>0</v>
      </c>
      <c r="P89" s="106">
        <f>'c.2) Sonstige'!P24</f>
        <v>0</v>
      </c>
      <c r="Q89" s="48"/>
    </row>
    <row r="90" spans="2:17" ht="14.5" x14ac:dyDescent="0.35">
      <c r="B90" s="45"/>
      <c r="C90" s="561" t="s">
        <v>108</v>
      </c>
      <c r="D90" s="562"/>
      <c r="E90" s="106">
        <f>Eingabe!K28</f>
        <v>0</v>
      </c>
      <c r="F90" s="212">
        <f t="shared" si="38"/>
        <v>0</v>
      </c>
      <c r="G90" s="141"/>
      <c r="H90" s="106">
        <f>'c.3) Anlagegüter'!M24</f>
        <v>0</v>
      </c>
      <c r="I90" s="106">
        <f>'c.3) Anlagegüter'!N24</f>
        <v>0</v>
      </c>
      <c r="J90" s="106">
        <f>'c.3) Anlagegüter'!O24</f>
        <v>0</v>
      </c>
      <c r="K90" s="106">
        <f>'c.3) Anlagegüter'!P24</f>
        <v>0</v>
      </c>
      <c r="L90" s="106">
        <f t="shared" si="40"/>
        <v>0</v>
      </c>
      <c r="M90" s="212">
        <f t="shared" si="37"/>
        <v>0</v>
      </c>
      <c r="N90" s="169"/>
      <c r="O90" s="106">
        <f>'c.3) Anlagegüter'!R24</f>
        <v>0</v>
      </c>
      <c r="P90" s="106">
        <f>'c.3) Anlagegüter'!S24</f>
        <v>0</v>
      </c>
      <c r="Q90" s="48"/>
    </row>
    <row r="91" spans="2:17" x14ac:dyDescent="0.35">
      <c r="B91" s="45"/>
      <c r="C91" s="553" t="s">
        <v>107</v>
      </c>
      <c r="D91" s="553"/>
      <c r="E91" s="106">
        <f>Eingabe!K29</f>
        <v>0</v>
      </c>
      <c r="F91" s="212">
        <f t="shared" si="38"/>
        <v>0</v>
      </c>
      <c r="G91" s="141"/>
      <c r="H91" s="106">
        <f>'c.4) Unteraufträge'!J24</f>
        <v>0</v>
      </c>
      <c r="I91" s="106">
        <f>'c.4) Unteraufträge'!K24</f>
        <v>0</v>
      </c>
      <c r="J91" s="106">
        <f>'c.4) Unteraufträge'!L24</f>
        <v>0</v>
      </c>
      <c r="K91" s="106">
        <f>'c.4) Unteraufträge'!M24</f>
        <v>0</v>
      </c>
      <c r="L91" s="106">
        <f t="shared" si="40"/>
        <v>0</v>
      </c>
      <c r="M91" s="212">
        <f t="shared" si="37"/>
        <v>0</v>
      </c>
      <c r="N91" s="169"/>
      <c r="O91" s="106">
        <f>'c.4) Unteraufträge'!O24</f>
        <v>0</v>
      </c>
      <c r="P91" s="106">
        <f>'c.4) Unteraufträge'!P24</f>
        <v>0</v>
      </c>
      <c r="Q91" s="48"/>
    </row>
    <row r="92" spans="2:17" ht="14.5" x14ac:dyDescent="0.35">
      <c r="B92" s="45"/>
      <c r="C92" s="547" t="s">
        <v>49</v>
      </c>
      <c r="D92" s="563"/>
      <c r="E92" s="223">
        <f>Eingabe!K30</f>
        <v>0</v>
      </c>
      <c r="F92" s="198">
        <f t="shared" si="38"/>
        <v>0</v>
      </c>
      <c r="G92" s="141"/>
      <c r="H92" s="223">
        <f>'d) Indirekte'!J24</f>
        <v>0</v>
      </c>
      <c r="I92" s="223">
        <f>'d) Indirekte'!K24</f>
        <v>0</v>
      </c>
      <c r="J92" s="223">
        <f>'d) Indirekte'!L24</f>
        <v>0</v>
      </c>
      <c r="K92" s="223">
        <f>'d) Indirekte'!M24</f>
        <v>0</v>
      </c>
      <c r="L92" s="223">
        <f t="shared" si="40"/>
        <v>0</v>
      </c>
      <c r="M92" s="198">
        <f t="shared" si="37"/>
        <v>0</v>
      </c>
      <c r="N92" s="169"/>
      <c r="O92" s="223">
        <f>'d) Indirekte'!O24</f>
        <v>0</v>
      </c>
      <c r="P92" s="223">
        <f>'d) Indirekte'!P24</f>
        <v>0</v>
      </c>
      <c r="Q92" s="48"/>
    </row>
    <row r="93" spans="2:17" ht="15.5" x14ac:dyDescent="0.35">
      <c r="B93" s="45"/>
      <c r="C93" s="560" t="s">
        <v>24</v>
      </c>
      <c r="D93" s="560"/>
      <c r="E93" s="226">
        <f>Eingabe!K31</f>
        <v>0</v>
      </c>
      <c r="F93" s="207">
        <f t="shared" si="38"/>
        <v>0</v>
      </c>
      <c r="G93" s="141"/>
      <c r="H93" s="226">
        <f>H82+H92</f>
        <v>0</v>
      </c>
      <c r="I93" s="226">
        <f t="shared" ref="I93:K93" si="42">I82+I92</f>
        <v>0</v>
      </c>
      <c r="J93" s="226">
        <f t="shared" si="42"/>
        <v>0</v>
      </c>
      <c r="K93" s="226">
        <f t="shared" si="42"/>
        <v>0</v>
      </c>
      <c r="L93" s="226">
        <f t="shared" si="40"/>
        <v>0</v>
      </c>
      <c r="M93" s="207">
        <f t="shared" si="37"/>
        <v>0</v>
      </c>
      <c r="N93" s="169"/>
      <c r="O93" s="226">
        <f>O82+O92</f>
        <v>0</v>
      </c>
      <c r="P93" s="226">
        <f>P82+P92</f>
        <v>0</v>
      </c>
      <c r="Q93" s="48"/>
    </row>
    <row r="94" spans="2:17" x14ac:dyDescent="0.35">
      <c r="B94" s="45"/>
      <c r="C94" s="169"/>
      <c r="D94" s="169"/>
      <c r="E94" s="169"/>
      <c r="F94" s="141"/>
      <c r="G94" s="141"/>
      <c r="H94" s="169"/>
      <c r="I94" s="141"/>
      <c r="J94" s="141"/>
      <c r="K94" s="141"/>
      <c r="L94" s="141"/>
      <c r="M94" s="169"/>
      <c r="N94" s="169"/>
      <c r="O94" s="169"/>
      <c r="P94" s="169"/>
      <c r="Q94" s="48"/>
    </row>
    <row r="95" spans="2:17" ht="29" x14ac:dyDescent="0.35">
      <c r="B95" s="45"/>
      <c r="C95" s="541" t="str">
        <f>Eingabe!L$18&amp;": "&amp;Eingabe!L$19</f>
        <v>Maßnahme 5: keine</v>
      </c>
      <c r="D95" s="541"/>
      <c r="E95" s="257" t="s">
        <v>23</v>
      </c>
      <c r="F95" s="190" t="s">
        <v>22</v>
      </c>
      <c r="G95" s="258"/>
      <c r="H95" s="257" t="s">
        <v>109</v>
      </c>
      <c r="I95" s="257" t="s">
        <v>110</v>
      </c>
      <c r="J95" s="257" t="s">
        <v>111</v>
      </c>
      <c r="K95" s="257" t="s">
        <v>112</v>
      </c>
      <c r="L95" s="257" t="s">
        <v>113</v>
      </c>
      <c r="M95" s="190" t="s">
        <v>43</v>
      </c>
      <c r="N95" s="259"/>
      <c r="O95" s="192" t="s">
        <v>19</v>
      </c>
      <c r="P95" s="193" t="s">
        <v>10</v>
      </c>
      <c r="Q95" s="48"/>
    </row>
    <row r="96" spans="2:17" ht="14.5" x14ac:dyDescent="0.35">
      <c r="B96" s="45"/>
      <c r="C96" s="542" t="s">
        <v>27</v>
      </c>
      <c r="D96" s="542"/>
      <c r="E96" s="223">
        <f>Eingabe!L20</f>
        <v>0</v>
      </c>
      <c r="F96" s="198">
        <f>IF($E$28=0,0,E96/$E$51)</f>
        <v>0</v>
      </c>
      <c r="G96" s="258"/>
      <c r="H96" s="223">
        <f>H97+H100+H101</f>
        <v>0</v>
      </c>
      <c r="I96" s="223">
        <f t="shared" ref="I96" si="43">I97+I100+I101</f>
        <v>0</v>
      </c>
      <c r="J96" s="223">
        <f t="shared" ref="J96" si="44">J97+J100+J101</f>
        <v>0</v>
      </c>
      <c r="K96" s="223">
        <f t="shared" ref="K96" si="45">K97+K100+K101</f>
        <v>0</v>
      </c>
      <c r="L96" s="223">
        <f>SUM(H96:K96)</f>
        <v>0</v>
      </c>
      <c r="M96" s="198">
        <f t="shared" ref="M96:M107" si="46">IF(E96=0,0,L96/E96)</f>
        <v>0</v>
      </c>
      <c r="N96" s="259"/>
      <c r="O96" s="223">
        <f>IF(Eingabe!$Q$45="ja",SUM(O97+O100+O101),Overview!$AA$15)</f>
        <v>0</v>
      </c>
      <c r="P96" s="223">
        <f>IF(Eingabe!$Q$45="ja",L96-O96,Overview!$AA$15)</f>
        <v>0</v>
      </c>
      <c r="Q96" s="48"/>
    </row>
    <row r="97" spans="2:17" x14ac:dyDescent="0.35">
      <c r="B97" s="45"/>
      <c r="C97" s="552" t="s">
        <v>6</v>
      </c>
      <c r="D97" s="552"/>
      <c r="E97" s="203">
        <f>Eingabe!L21</f>
        <v>0</v>
      </c>
      <c r="F97" s="207">
        <f t="shared" ref="F97:F107" si="47">IF($E$28=0,0,E97/$E$51)</f>
        <v>0</v>
      </c>
      <c r="G97" s="258"/>
      <c r="H97" s="203">
        <f>H98+H99</f>
        <v>0</v>
      </c>
      <c r="I97" s="203">
        <f t="shared" ref="I97:K97" si="48">I98+I99</f>
        <v>0</v>
      </c>
      <c r="J97" s="203">
        <f t="shared" si="48"/>
        <v>0</v>
      </c>
      <c r="K97" s="203">
        <f t="shared" si="48"/>
        <v>0</v>
      </c>
      <c r="L97" s="203">
        <f t="shared" ref="L97:L107" si="49">SUM(H97:K97)</f>
        <v>0</v>
      </c>
      <c r="M97" s="207">
        <f t="shared" si="46"/>
        <v>0</v>
      </c>
      <c r="N97" s="259"/>
      <c r="O97" s="203">
        <f>IF(Eingabe!$Q$45="ja",O98+O99,Overview!$AA$15)</f>
        <v>0</v>
      </c>
      <c r="P97" s="203">
        <f>IF(Eingabe!$Q$45="ja",L97-O97,Overview!$AA$15)</f>
        <v>0</v>
      </c>
      <c r="Q97" s="48"/>
    </row>
    <row r="98" spans="2:17" x14ac:dyDescent="0.35">
      <c r="B98" s="45"/>
      <c r="C98" s="553" t="s">
        <v>26</v>
      </c>
      <c r="D98" s="553"/>
      <c r="E98" s="106">
        <f>Eingabe!L22</f>
        <v>0</v>
      </c>
      <c r="F98" s="212">
        <f t="shared" si="47"/>
        <v>0</v>
      </c>
      <c r="G98" s="141"/>
      <c r="H98" s="106">
        <f>'a.1) Angestellte'!R25</f>
        <v>0</v>
      </c>
      <c r="I98" s="106">
        <f>'a.1) Angestellte'!S25</f>
        <v>0</v>
      </c>
      <c r="J98" s="106">
        <f>'a.1) Angestellte'!T25</f>
        <v>0</v>
      </c>
      <c r="K98" s="106">
        <f>'a.1) Angestellte'!U25</f>
        <v>0</v>
      </c>
      <c r="L98" s="106">
        <f t="shared" si="49"/>
        <v>0</v>
      </c>
      <c r="M98" s="212">
        <f t="shared" si="46"/>
        <v>0</v>
      </c>
      <c r="N98" s="169"/>
      <c r="O98" s="106">
        <f>'a.1) Angestellte'!W25</f>
        <v>0</v>
      </c>
      <c r="P98" s="106">
        <f>'a.1) Angestellte'!X25</f>
        <v>0</v>
      </c>
      <c r="Q98" s="48"/>
    </row>
    <row r="99" spans="2:17" x14ac:dyDescent="0.35">
      <c r="B99" s="45"/>
      <c r="C99" s="553" t="s">
        <v>103</v>
      </c>
      <c r="D99" s="553"/>
      <c r="E99" s="106">
        <f>Eingabe!L23</f>
        <v>0</v>
      </c>
      <c r="F99" s="212">
        <f t="shared" si="47"/>
        <v>0</v>
      </c>
      <c r="G99" s="141"/>
      <c r="H99" s="106">
        <f>'a.2) Freie DN'!R25</f>
        <v>0</v>
      </c>
      <c r="I99" s="106">
        <f>'a.2) Freie DN'!S25</f>
        <v>0</v>
      </c>
      <c r="J99" s="106">
        <f>'a.2) Freie DN'!T25</f>
        <v>0</v>
      </c>
      <c r="K99" s="106">
        <f>'a.2) Freie DN'!U25</f>
        <v>0</v>
      </c>
      <c r="L99" s="106">
        <f t="shared" si="49"/>
        <v>0</v>
      </c>
      <c r="M99" s="212">
        <f t="shared" si="46"/>
        <v>0</v>
      </c>
      <c r="N99" s="169"/>
      <c r="O99" s="106">
        <f>'a.2) Freie DN'!W25</f>
        <v>0</v>
      </c>
      <c r="P99" s="106">
        <f>'a.2) Freie DN'!X25</f>
        <v>0</v>
      </c>
      <c r="Q99" s="48"/>
    </row>
    <row r="100" spans="2:17" x14ac:dyDescent="0.35">
      <c r="B100" s="45"/>
      <c r="C100" s="524" t="s">
        <v>15</v>
      </c>
      <c r="D100" s="524"/>
      <c r="E100" s="216">
        <f>Eingabe!L24</f>
        <v>0</v>
      </c>
      <c r="F100" s="198">
        <f t="shared" si="47"/>
        <v>0</v>
      </c>
      <c r="G100" s="141"/>
      <c r="H100" s="216">
        <f>'b) Reisekosten'!J25</f>
        <v>0</v>
      </c>
      <c r="I100" s="216">
        <f>'b) Reisekosten'!K25</f>
        <v>0</v>
      </c>
      <c r="J100" s="216">
        <f>'b) Reisekosten'!L25</f>
        <v>0</v>
      </c>
      <c r="K100" s="216">
        <f>'b) Reisekosten'!M25</f>
        <v>0</v>
      </c>
      <c r="L100" s="216">
        <f t="shared" si="49"/>
        <v>0</v>
      </c>
      <c r="M100" s="198">
        <f t="shared" si="46"/>
        <v>0</v>
      </c>
      <c r="N100" s="169"/>
      <c r="O100" s="216">
        <f>'b) Reisekosten'!O25</f>
        <v>0</v>
      </c>
      <c r="P100" s="216">
        <f>'b) Reisekosten'!P25</f>
        <v>0</v>
      </c>
      <c r="Q100" s="48"/>
    </row>
    <row r="101" spans="2:17" x14ac:dyDescent="0.35">
      <c r="B101" s="45"/>
      <c r="C101" s="552" t="s">
        <v>16</v>
      </c>
      <c r="D101" s="552"/>
      <c r="E101" s="203">
        <f>Eingabe!L25</f>
        <v>0</v>
      </c>
      <c r="F101" s="207">
        <f t="shared" si="47"/>
        <v>0</v>
      </c>
      <c r="G101" s="141"/>
      <c r="H101" s="203">
        <f>SUM(H102:H105)</f>
        <v>0</v>
      </c>
      <c r="I101" s="203">
        <f t="shared" ref="I101:K101" si="50">SUM(I102:I105)</f>
        <v>0</v>
      </c>
      <c r="J101" s="203">
        <f t="shared" si="50"/>
        <v>0</v>
      </c>
      <c r="K101" s="203">
        <f t="shared" si="50"/>
        <v>0</v>
      </c>
      <c r="L101" s="203">
        <f t="shared" si="49"/>
        <v>0</v>
      </c>
      <c r="M101" s="207">
        <f t="shared" si="46"/>
        <v>0</v>
      </c>
      <c r="N101" s="169"/>
      <c r="O101" s="203">
        <f>O102+O103+O104+O105</f>
        <v>0</v>
      </c>
      <c r="P101" s="203">
        <f>P102+P103+P104+P105</f>
        <v>0</v>
      </c>
      <c r="Q101" s="48"/>
    </row>
    <row r="102" spans="2:17" ht="14.5" x14ac:dyDescent="0.35">
      <c r="B102" s="45"/>
      <c r="C102" s="561" t="s">
        <v>25</v>
      </c>
      <c r="D102" s="562"/>
      <c r="E102" s="106">
        <f>Eingabe!L26</f>
        <v>0</v>
      </c>
      <c r="F102" s="212">
        <f t="shared" si="47"/>
        <v>0</v>
      </c>
      <c r="G102" s="141"/>
      <c r="H102" s="106">
        <f>'c.1) Immobilien'!J25</f>
        <v>0</v>
      </c>
      <c r="I102" s="106">
        <f>'c.1) Immobilien'!K25</f>
        <v>0</v>
      </c>
      <c r="J102" s="106">
        <f>'c.1) Immobilien'!L25</f>
        <v>0</v>
      </c>
      <c r="K102" s="106">
        <f>'c.1) Immobilien'!M25</f>
        <v>0</v>
      </c>
      <c r="L102" s="106">
        <f t="shared" si="49"/>
        <v>0</v>
      </c>
      <c r="M102" s="212">
        <f t="shared" si="46"/>
        <v>0</v>
      </c>
      <c r="N102" s="169"/>
      <c r="O102" s="106">
        <f>'c.1) Immobilien'!O25</f>
        <v>0</v>
      </c>
      <c r="P102" s="106">
        <f>'c.1) Immobilien'!P25</f>
        <v>0</v>
      </c>
      <c r="Q102" s="48"/>
    </row>
    <row r="103" spans="2:17" ht="14.5" x14ac:dyDescent="0.35">
      <c r="B103" s="45"/>
      <c r="C103" s="561" t="s">
        <v>106</v>
      </c>
      <c r="D103" s="562"/>
      <c r="E103" s="106">
        <f>Eingabe!L27</f>
        <v>0</v>
      </c>
      <c r="F103" s="212">
        <f t="shared" si="47"/>
        <v>0</v>
      </c>
      <c r="G103" s="141"/>
      <c r="H103" s="106">
        <f>'c.2) Sonstige'!J25</f>
        <v>0</v>
      </c>
      <c r="I103" s="106">
        <f>'c.2) Sonstige'!K25</f>
        <v>0</v>
      </c>
      <c r="J103" s="106">
        <f>'c.2) Sonstige'!L25</f>
        <v>0</v>
      </c>
      <c r="K103" s="106">
        <f>'c.2) Sonstige'!M25</f>
        <v>0</v>
      </c>
      <c r="L103" s="106">
        <f t="shared" si="49"/>
        <v>0</v>
      </c>
      <c r="M103" s="212">
        <f t="shared" si="46"/>
        <v>0</v>
      </c>
      <c r="N103" s="169"/>
      <c r="O103" s="106">
        <f>'c.2) Sonstige'!O25</f>
        <v>0</v>
      </c>
      <c r="P103" s="106">
        <f>'c.2) Sonstige'!P25</f>
        <v>0</v>
      </c>
      <c r="Q103" s="48"/>
    </row>
    <row r="104" spans="2:17" ht="14.5" x14ac:dyDescent="0.35">
      <c r="B104" s="45"/>
      <c r="C104" s="561" t="s">
        <v>108</v>
      </c>
      <c r="D104" s="562"/>
      <c r="E104" s="106">
        <f>Eingabe!L28</f>
        <v>0</v>
      </c>
      <c r="F104" s="212">
        <f t="shared" si="47"/>
        <v>0</v>
      </c>
      <c r="G104" s="141"/>
      <c r="H104" s="106">
        <f>'c.3) Anlagegüter'!M25</f>
        <v>0</v>
      </c>
      <c r="I104" s="106">
        <f>'c.3) Anlagegüter'!N25</f>
        <v>0</v>
      </c>
      <c r="J104" s="106">
        <f>'c.3) Anlagegüter'!O25</f>
        <v>0</v>
      </c>
      <c r="K104" s="106">
        <f>'c.3) Anlagegüter'!P25</f>
        <v>0</v>
      </c>
      <c r="L104" s="106">
        <f t="shared" si="49"/>
        <v>0</v>
      </c>
      <c r="M104" s="212">
        <f t="shared" si="46"/>
        <v>0</v>
      </c>
      <c r="N104" s="169"/>
      <c r="O104" s="106">
        <f>'c.3) Anlagegüter'!R25</f>
        <v>0</v>
      </c>
      <c r="P104" s="106">
        <f>'c.3) Anlagegüter'!S25</f>
        <v>0</v>
      </c>
      <c r="Q104" s="48"/>
    </row>
    <row r="105" spans="2:17" x14ac:dyDescent="0.35">
      <c r="B105" s="45"/>
      <c r="C105" s="553" t="s">
        <v>107</v>
      </c>
      <c r="D105" s="553"/>
      <c r="E105" s="106">
        <f>Eingabe!L29</f>
        <v>0</v>
      </c>
      <c r="F105" s="212">
        <f t="shared" si="47"/>
        <v>0</v>
      </c>
      <c r="G105" s="141"/>
      <c r="H105" s="106">
        <f>'c.4) Unteraufträge'!J25</f>
        <v>0</v>
      </c>
      <c r="I105" s="106">
        <f>'c.4) Unteraufträge'!K25</f>
        <v>0</v>
      </c>
      <c r="J105" s="106">
        <f>'c.4) Unteraufträge'!L25</f>
        <v>0</v>
      </c>
      <c r="K105" s="106">
        <f>'c.4) Unteraufträge'!M25</f>
        <v>0</v>
      </c>
      <c r="L105" s="106">
        <f t="shared" si="49"/>
        <v>0</v>
      </c>
      <c r="M105" s="212">
        <f t="shared" si="46"/>
        <v>0</v>
      </c>
      <c r="N105" s="169"/>
      <c r="O105" s="106">
        <f>'c.4) Unteraufträge'!O25</f>
        <v>0</v>
      </c>
      <c r="P105" s="106">
        <f>'c.4) Unteraufträge'!P25</f>
        <v>0</v>
      </c>
      <c r="Q105" s="48"/>
    </row>
    <row r="106" spans="2:17" ht="14.5" x14ac:dyDescent="0.35">
      <c r="B106" s="45"/>
      <c r="C106" s="547" t="s">
        <v>49</v>
      </c>
      <c r="D106" s="563"/>
      <c r="E106" s="223">
        <f>Eingabe!L30</f>
        <v>0</v>
      </c>
      <c r="F106" s="198">
        <f t="shared" si="47"/>
        <v>0</v>
      </c>
      <c r="G106" s="141"/>
      <c r="H106" s="223">
        <f>'d) Indirekte'!J25</f>
        <v>0</v>
      </c>
      <c r="I106" s="223">
        <f>'d) Indirekte'!K25</f>
        <v>0</v>
      </c>
      <c r="J106" s="223">
        <f>'d) Indirekte'!L25</f>
        <v>0</v>
      </c>
      <c r="K106" s="223">
        <f>'d) Indirekte'!M25</f>
        <v>0</v>
      </c>
      <c r="L106" s="223">
        <f t="shared" si="49"/>
        <v>0</v>
      </c>
      <c r="M106" s="198">
        <f t="shared" si="46"/>
        <v>0</v>
      </c>
      <c r="N106" s="169"/>
      <c r="O106" s="223">
        <f>'d) Indirekte'!O25</f>
        <v>0</v>
      </c>
      <c r="P106" s="223">
        <f>'d) Indirekte'!P25</f>
        <v>0</v>
      </c>
      <c r="Q106" s="48"/>
    </row>
    <row r="107" spans="2:17" ht="15.5" x14ac:dyDescent="0.35">
      <c r="B107" s="45"/>
      <c r="C107" s="560" t="s">
        <v>24</v>
      </c>
      <c r="D107" s="560"/>
      <c r="E107" s="226">
        <f>Eingabe!L31</f>
        <v>0</v>
      </c>
      <c r="F107" s="207">
        <f t="shared" si="47"/>
        <v>0</v>
      </c>
      <c r="G107" s="141"/>
      <c r="H107" s="226">
        <f>H96+H106</f>
        <v>0</v>
      </c>
      <c r="I107" s="226">
        <f t="shared" ref="I107:K107" si="51">I96+I106</f>
        <v>0</v>
      </c>
      <c r="J107" s="226">
        <f t="shared" si="51"/>
        <v>0</v>
      </c>
      <c r="K107" s="226">
        <f t="shared" si="51"/>
        <v>0</v>
      </c>
      <c r="L107" s="226">
        <f t="shared" si="49"/>
        <v>0</v>
      </c>
      <c r="M107" s="207">
        <f t="shared" si="46"/>
        <v>0</v>
      </c>
      <c r="N107" s="169"/>
      <c r="O107" s="226">
        <f>O96+O106</f>
        <v>0</v>
      </c>
      <c r="P107" s="226">
        <f>P96+P106</f>
        <v>0</v>
      </c>
      <c r="Q107" s="48"/>
    </row>
    <row r="108" spans="2:17" x14ac:dyDescent="0.35">
      <c r="B108" s="45"/>
      <c r="C108" s="169"/>
      <c r="D108" s="169"/>
      <c r="E108" s="169"/>
      <c r="F108" s="141"/>
      <c r="G108" s="141"/>
      <c r="H108" s="169"/>
      <c r="I108" s="141"/>
      <c r="J108" s="141"/>
      <c r="K108" s="141"/>
      <c r="L108" s="141"/>
      <c r="M108" s="169"/>
      <c r="N108" s="169"/>
      <c r="O108" s="169"/>
      <c r="P108" s="169"/>
      <c r="Q108" s="48"/>
    </row>
    <row r="109" spans="2:17" ht="29" x14ac:dyDescent="0.35">
      <c r="B109" s="45"/>
      <c r="C109" s="541" t="str">
        <f>Eingabe!M$18&amp;": "&amp;Eingabe!M$19</f>
        <v>Maßnahme 6: keine</v>
      </c>
      <c r="D109" s="541"/>
      <c r="E109" s="257" t="s">
        <v>23</v>
      </c>
      <c r="F109" s="190" t="s">
        <v>22</v>
      </c>
      <c r="G109" s="258"/>
      <c r="H109" s="257" t="s">
        <v>109</v>
      </c>
      <c r="I109" s="257" t="s">
        <v>110</v>
      </c>
      <c r="J109" s="257" t="s">
        <v>111</v>
      </c>
      <c r="K109" s="257" t="s">
        <v>112</v>
      </c>
      <c r="L109" s="257" t="s">
        <v>113</v>
      </c>
      <c r="M109" s="190" t="s">
        <v>43</v>
      </c>
      <c r="N109" s="259"/>
      <c r="O109" s="192" t="s">
        <v>19</v>
      </c>
      <c r="P109" s="193" t="s">
        <v>10</v>
      </c>
      <c r="Q109" s="48"/>
    </row>
    <row r="110" spans="2:17" ht="14.5" x14ac:dyDescent="0.35">
      <c r="B110" s="45"/>
      <c r="C110" s="542" t="s">
        <v>27</v>
      </c>
      <c r="D110" s="542"/>
      <c r="E110" s="223">
        <f>Eingabe!M20</f>
        <v>0</v>
      </c>
      <c r="F110" s="198">
        <f>IF($E$28=0,0,E110/$E$51)</f>
        <v>0</v>
      </c>
      <c r="G110" s="258"/>
      <c r="H110" s="223">
        <f>H111+H114+H115</f>
        <v>0</v>
      </c>
      <c r="I110" s="223">
        <f t="shared" ref="I110" si="52">I111+I114+I115</f>
        <v>0</v>
      </c>
      <c r="J110" s="223">
        <f t="shared" ref="J110" si="53">J111+J114+J115</f>
        <v>0</v>
      </c>
      <c r="K110" s="223">
        <f t="shared" ref="K110" si="54">K111+K114+K115</f>
        <v>0</v>
      </c>
      <c r="L110" s="223">
        <f>SUM(H110:K110)</f>
        <v>0</v>
      </c>
      <c r="M110" s="198">
        <f t="shared" ref="M110:M121" si="55">IF(E110=0,0,L110/E110)</f>
        <v>0</v>
      </c>
      <c r="N110" s="259"/>
      <c r="O110" s="223">
        <f>IF(Eingabe!$Q$45="ja",SUM(O111+O114+O115),Overview!$AA$15)</f>
        <v>0</v>
      </c>
      <c r="P110" s="223">
        <f>IF(Eingabe!$Q$45="ja",L110-O110,Overview!$AA$15)</f>
        <v>0</v>
      </c>
      <c r="Q110" s="48"/>
    </row>
    <row r="111" spans="2:17" x14ac:dyDescent="0.35">
      <c r="B111" s="45"/>
      <c r="C111" s="552" t="s">
        <v>6</v>
      </c>
      <c r="D111" s="552"/>
      <c r="E111" s="203">
        <f>Eingabe!M21</f>
        <v>0</v>
      </c>
      <c r="F111" s="207">
        <f t="shared" ref="F111:F121" si="56">IF($E$28=0,0,E111/$E$51)</f>
        <v>0</v>
      </c>
      <c r="G111" s="258"/>
      <c r="H111" s="203">
        <f>H112+H113</f>
        <v>0</v>
      </c>
      <c r="I111" s="203">
        <f t="shared" ref="I111:K111" si="57">I112+I113</f>
        <v>0</v>
      </c>
      <c r="J111" s="203">
        <f t="shared" si="57"/>
        <v>0</v>
      </c>
      <c r="K111" s="203">
        <f t="shared" si="57"/>
        <v>0</v>
      </c>
      <c r="L111" s="203">
        <f t="shared" ref="L111:L121" si="58">SUM(H111:K111)</f>
        <v>0</v>
      </c>
      <c r="M111" s="207">
        <f t="shared" si="55"/>
        <v>0</v>
      </c>
      <c r="N111" s="259"/>
      <c r="O111" s="203">
        <f>IF(Eingabe!$Q$45="ja",O112+O113,Overview!$AA$15)</f>
        <v>0</v>
      </c>
      <c r="P111" s="203">
        <f>IF(Eingabe!$Q$45="ja",L111-O111,Overview!$AA$15)</f>
        <v>0</v>
      </c>
      <c r="Q111" s="48"/>
    </row>
    <row r="112" spans="2:17" x14ac:dyDescent="0.35">
      <c r="B112" s="45"/>
      <c r="C112" s="553" t="s">
        <v>26</v>
      </c>
      <c r="D112" s="553"/>
      <c r="E112" s="106">
        <f>Eingabe!M22</f>
        <v>0</v>
      </c>
      <c r="F112" s="212">
        <f t="shared" si="56"/>
        <v>0</v>
      </c>
      <c r="G112" s="141"/>
      <c r="H112" s="106">
        <f>'a.1) Angestellte'!R26</f>
        <v>0</v>
      </c>
      <c r="I112" s="106">
        <f>'a.1) Angestellte'!S26</f>
        <v>0</v>
      </c>
      <c r="J112" s="106">
        <f>'a.1) Angestellte'!T26</f>
        <v>0</v>
      </c>
      <c r="K112" s="106">
        <f>'a.1) Angestellte'!U26</f>
        <v>0</v>
      </c>
      <c r="L112" s="106">
        <f t="shared" si="58"/>
        <v>0</v>
      </c>
      <c r="M112" s="212">
        <f t="shared" si="55"/>
        <v>0</v>
      </c>
      <c r="N112" s="169"/>
      <c r="O112" s="106">
        <f>'a.1) Angestellte'!W26</f>
        <v>0</v>
      </c>
      <c r="P112" s="106">
        <f>'a.1) Angestellte'!X26</f>
        <v>0</v>
      </c>
      <c r="Q112" s="48"/>
    </row>
    <row r="113" spans="2:17" x14ac:dyDescent="0.35">
      <c r="B113" s="45"/>
      <c r="C113" s="553" t="s">
        <v>103</v>
      </c>
      <c r="D113" s="553"/>
      <c r="E113" s="106">
        <f>Eingabe!M23</f>
        <v>0</v>
      </c>
      <c r="F113" s="212">
        <f t="shared" si="56"/>
        <v>0</v>
      </c>
      <c r="G113" s="141"/>
      <c r="H113" s="106">
        <f>'a.2) Freie DN'!R26</f>
        <v>0</v>
      </c>
      <c r="I113" s="106">
        <f>'a.2) Freie DN'!S26</f>
        <v>0</v>
      </c>
      <c r="J113" s="106">
        <f>'a.2) Freie DN'!T26</f>
        <v>0</v>
      </c>
      <c r="K113" s="106">
        <f>'a.2) Freie DN'!U26</f>
        <v>0</v>
      </c>
      <c r="L113" s="106">
        <f t="shared" si="58"/>
        <v>0</v>
      </c>
      <c r="M113" s="212">
        <f t="shared" si="55"/>
        <v>0</v>
      </c>
      <c r="N113" s="169"/>
      <c r="O113" s="106">
        <f>'a.2) Freie DN'!W26</f>
        <v>0</v>
      </c>
      <c r="P113" s="106">
        <f>'a.2) Freie DN'!X26</f>
        <v>0</v>
      </c>
      <c r="Q113" s="48"/>
    </row>
    <row r="114" spans="2:17" x14ac:dyDescent="0.35">
      <c r="B114" s="45"/>
      <c r="C114" s="524" t="s">
        <v>15</v>
      </c>
      <c r="D114" s="524"/>
      <c r="E114" s="216">
        <f>Eingabe!M24</f>
        <v>0</v>
      </c>
      <c r="F114" s="198">
        <f t="shared" si="56"/>
        <v>0</v>
      </c>
      <c r="G114" s="141"/>
      <c r="H114" s="216">
        <f>'b) Reisekosten'!J26</f>
        <v>0</v>
      </c>
      <c r="I114" s="216">
        <f>'b) Reisekosten'!K26</f>
        <v>0</v>
      </c>
      <c r="J114" s="216">
        <f>'b) Reisekosten'!L26</f>
        <v>0</v>
      </c>
      <c r="K114" s="216">
        <f>'b) Reisekosten'!M26</f>
        <v>0</v>
      </c>
      <c r="L114" s="216">
        <f t="shared" si="58"/>
        <v>0</v>
      </c>
      <c r="M114" s="198">
        <f t="shared" si="55"/>
        <v>0</v>
      </c>
      <c r="N114" s="169"/>
      <c r="O114" s="216">
        <f>'b) Reisekosten'!O26</f>
        <v>0</v>
      </c>
      <c r="P114" s="216">
        <f>'b) Reisekosten'!P26</f>
        <v>0</v>
      </c>
      <c r="Q114" s="48"/>
    </row>
    <row r="115" spans="2:17" x14ac:dyDescent="0.35">
      <c r="B115" s="45"/>
      <c r="C115" s="552" t="s">
        <v>16</v>
      </c>
      <c r="D115" s="552"/>
      <c r="E115" s="203">
        <f>Eingabe!M25</f>
        <v>0</v>
      </c>
      <c r="F115" s="207">
        <f t="shared" si="56"/>
        <v>0</v>
      </c>
      <c r="G115" s="141"/>
      <c r="H115" s="203">
        <f>SUM(H116:H119)</f>
        <v>0</v>
      </c>
      <c r="I115" s="203">
        <f t="shared" ref="I115:K115" si="59">SUM(I116:I119)</f>
        <v>0</v>
      </c>
      <c r="J115" s="203">
        <f t="shared" si="59"/>
        <v>0</v>
      </c>
      <c r="K115" s="203">
        <f t="shared" si="59"/>
        <v>0</v>
      </c>
      <c r="L115" s="203">
        <f t="shared" si="58"/>
        <v>0</v>
      </c>
      <c r="M115" s="207">
        <f t="shared" si="55"/>
        <v>0</v>
      </c>
      <c r="N115" s="169"/>
      <c r="O115" s="203">
        <f>O116+O117+O118+O119</f>
        <v>0</v>
      </c>
      <c r="P115" s="203">
        <f>P116+P117+P118+P119</f>
        <v>0</v>
      </c>
      <c r="Q115" s="48"/>
    </row>
    <row r="116" spans="2:17" ht="14.5" x14ac:dyDescent="0.35">
      <c r="B116" s="45"/>
      <c r="C116" s="561" t="s">
        <v>25</v>
      </c>
      <c r="D116" s="562"/>
      <c r="E116" s="106">
        <f>Eingabe!M26</f>
        <v>0</v>
      </c>
      <c r="F116" s="212">
        <f t="shared" si="56"/>
        <v>0</v>
      </c>
      <c r="G116" s="141"/>
      <c r="H116" s="106">
        <f>'c.1) Immobilien'!J26</f>
        <v>0</v>
      </c>
      <c r="I116" s="106">
        <f>'c.1) Immobilien'!K26</f>
        <v>0</v>
      </c>
      <c r="J116" s="106">
        <f>'c.1) Immobilien'!L26</f>
        <v>0</v>
      </c>
      <c r="K116" s="106">
        <f>'c.1) Immobilien'!M26</f>
        <v>0</v>
      </c>
      <c r="L116" s="106">
        <f t="shared" si="58"/>
        <v>0</v>
      </c>
      <c r="M116" s="212">
        <f t="shared" si="55"/>
        <v>0</v>
      </c>
      <c r="N116" s="169"/>
      <c r="O116" s="106">
        <f>'c.1) Immobilien'!O26</f>
        <v>0</v>
      </c>
      <c r="P116" s="106">
        <f>'c.1) Immobilien'!P26</f>
        <v>0</v>
      </c>
      <c r="Q116" s="48"/>
    </row>
    <row r="117" spans="2:17" ht="14.5" x14ac:dyDescent="0.35">
      <c r="B117" s="45"/>
      <c r="C117" s="561" t="s">
        <v>106</v>
      </c>
      <c r="D117" s="562"/>
      <c r="E117" s="106">
        <f>Eingabe!M27</f>
        <v>0</v>
      </c>
      <c r="F117" s="212">
        <f t="shared" si="56"/>
        <v>0</v>
      </c>
      <c r="G117" s="141"/>
      <c r="H117" s="106">
        <f>'c.2) Sonstige'!J26</f>
        <v>0</v>
      </c>
      <c r="I117" s="106">
        <f>'c.2) Sonstige'!K26</f>
        <v>0</v>
      </c>
      <c r="J117" s="106">
        <f>'c.2) Sonstige'!L26</f>
        <v>0</v>
      </c>
      <c r="K117" s="106">
        <f>'c.2) Sonstige'!M26</f>
        <v>0</v>
      </c>
      <c r="L117" s="106">
        <f t="shared" si="58"/>
        <v>0</v>
      </c>
      <c r="M117" s="212">
        <f t="shared" si="55"/>
        <v>0</v>
      </c>
      <c r="N117" s="169"/>
      <c r="O117" s="106">
        <f>'c.2) Sonstige'!O26</f>
        <v>0</v>
      </c>
      <c r="P117" s="106">
        <f>'c.2) Sonstige'!P26</f>
        <v>0</v>
      </c>
      <c r="Q117" s="48"/>
    </row>
    <row r="118" spans="2:17" ht="14.5" x14ac:dyDescent="0.35">
      <c r="B118" s="45"/>
      <c r="C118" s="561" t="s">
        <v>108</v>
      </c>
      <c r="D118" s="562"/>
      <c r="E118" s="106">
        <f>Eingabe!M28</f>
        <v>0</v>
      </c>
      <c r="F118" s="212">
        <f t="shared" si="56"/>
        <v>0</v>
      </c>
      <c r="G118" s="141"/>
      <c r="H118" s="106">
        <f>'c.3) Anlagegüter'!M26</f>
        <v>0</v>
      </c>
      <c r="I118" s="106">
        <f>'c.3) Anlagegüter'!N26</f>
        <v>0</v>
      </c>
      <c r="J118" s="106">
        <f>'c.3) Anlagegüter'!O26</f>
        <v>0</v>
      </c>
      <c r="K118" s="106">
        <f>'c.3) Anlagegüter'!P26</f>
        <v>0</v>
      </c>
      <c r="L118" s="106">
        <f t="shared" si="58"/>
        <v>0</v>
      </c>
      <c r="M118" s="212">
        <f t="shared" si="55"/>
        <v>0</v>
      </c>
      <c r="N118" s="169"/>
      <c r="O118" s="106">
        <f>'c.3) Anlagegüter'!R26</f>
        <v>0</v>
      </c>
      <c r="P118" s="106">
        <f>'c.3) Anlagegüter'!S26</f>
        <v>0</v>
      </c>
      <c r="Q118" s="48"/>
    </row>
    <row r="119" spans="2:17" x14ac:dyDescent="0.35">
      <c r="B119" s="45"/>
      <c r="C119" s="553" t="s">
        <v>107</v>
      </c>
      <c r="D119" s="553"/>
      <c r="E119" s="106">
        <f>Eingabe!M29</f>
        <v>0</v>
      </c>
      <c r="F119" s="212">
        <f t="shared" si="56"/>
        <v>0</v>
      </c>
      <c r="G119" s="141"/>
      <c r="H119" s="106">
        <f>'c.4) Unteraufträge'!J26</f>
        <v>0</v>
      </c>
      <c r="I119" s="106">
        <f>'c.4) Unteraufträge'!K26</f>
        <v>0</v>
      </c>
      <c r="J119" s="106">
        <f>'c.4) Unteraufträge'!L26</f>
        <v>0</v>
      </c>
      <c r="K119" s="106">
        <f>'c.4) Unteraufträge'!M26</f>
        <v>0</v>
      </c>
      <c r="L119" s="106">
        <f t="shared" si="58"/>
        <v>0</v>
      </c>
      <c r="M119" s="212">
        <f t="shared" si="55"/>
        <v>0</v>
      </c>
      <c r="N119" s="169"/>
      <c r="O119" s="106">
        <f>'c.4) Unteraufträge'!O26</f>
        <v>0</v>
      </c>
      <c r="P119" s="106">
        <f>'c.4) Unteraufträge'!P26</f>
        <v>0</v>
      </c>
      <c r="Q119" s="48"/>
    </row>
    <row r="120" spans="2:17" ht="14.5" x14ac:dyDescent="0.35">
      <c r="B120" s="45"/>
      <c r="C120" s="547" t="s">
        <v>49</v>
      </c>
      <c r="D120" s="563"/>
      <c r="E120" s="223">
        <f>Eingabe!M30</f>
        <v>0</v>
      </c>
      <c r="F120" s="198">
        <f t="shared" si="56"/>
        <v>0</v>
      </c>
      <c r="G120" s="141"/>
      <c r="H120" s="223">
        <f>'d) Indirekte'!J26</f>
        <v>0</v>
      </c>
      <c r="I120" s="223">
        <f>'d) Indirekte'!K26</f>
        <v>0</v>
      </c>
      <c r="J120" s="223">
        <f>'d) Indirekte'!L26</f>
        <v>0</v>
      </c>
      <c r="K120" s="223">
        <f>'d) Indirekte'!M26</f>
        <v>0</v>
      </c>
      <c r="L120" s="223">
        <f t="shared" si="58"/>
        <v>0</v>
      </c>
      <c r="M120" s="198">
        <f t="shared" si="55"/>
        <v>0</v>
      </c>
      <c r="N120" s="169"/>
      <c r="O120" s="223">
        <f>'d) Indirekte'!O26</f>
        <v>0</v>
      </c>
      <c r="P120" s="223">
        <f>'d) Indirekte'!P26</f>
        <v>0</v>
      </c>
      <c r="Q120" s="48"/>
    </row>
    <row r="121" spans="2:17" ht="15.5" x14ac:dyDescent="0.35">
      <c r="B121" s="45"/>
      <c r="C121" s="560" t="s">
        <v>24</v>
      </c>
      <c r="D121" s="560"/>
      <c r="E121" s="226">
        <f>Eingabe!M31</f>
        <v>0</v>
      </c>
      <c r="F121" s="207">
        <f t="shared" si="56"/>
        <v>0</v>
      </c>
      <c r="G121" s="141"/>
      <c r="H121" s="226">
        <f>H110+H120</f>
        <v>0</v>
      </c>
      <c r="I121" s="226">
        <f t="shared" ref="I121:K121" si="60">I110+I120</f>
        <v>0</v>
      </c>
      <c r="J121" s="226">
        <f t="shared" si="60"/>
        <v>0</v>
      </c>
      <c r="K121" s="226">
        <f t="shared" si="60"/>
        <v>0</v>
      </c>
      <c r="L121" s="226">
        <f t="shared" si="58"/>
        <v>0</v>
      </c>
      <c r="M121" s="207">
        <f t="shared" si="55"/>
        <v>0</v>
      </c>
      <c r="N121" s="169"/>
      <c r="O121" s="226">
        <f>O110+O120</f>
        <v>0</v>
      </c>
      <c r="P121" s="226">
        <f>P110+P120</f>
        <v>0</v>
      </c>
      <c r="Q121" s="48"/>
    </row>
    <row r="122" spans="2:17" x14ac:dyDescent="0.35">
      <c r="B122" s="45"/>
      <c r="C122" s="169"/>
      <c r="D122" s="169"/>
      <c r="E122" s="169"/>
      <c r="F122" s="141"/>
      <c r="G122" s="141"/>
      <c r="H122" s="169"/>
      <c r="I122" s="141"/>
      <c r="J122" s="141"/>
      <c r="K122" s="141"/>
      <c r="L122" s="141"/>
      <c r="M122" s="169"/>
      <c r="N122" s="169"/>
      <c r="O122" s="169"/>
      <c r="P122" s="169"/>
      <c r="Q122" s="48"/>
    </row>
    <row r="123" spans="2:17" ht="29" x14ac:dyDescent="0.35">
      <c r="B123" s="45"/>
      <c r="C123" s="541" t="str">
        <f>Eingabe!N$18&amp;": "&amp;Eingabe!N$19</f>
        <v>Maßnahme 7: keine</v>
      </c>
      <c r="D123" s="541"/>
      <c r="E123" s="257" t="s">
        <v>23</v>
      </c>
      <c r="F123" s="190" t="s">
        <v>22</v>
      </c>
      <c r="G123" s="258"/>
      <c r="H123" s="257" t="s">
        <v>109</v>
      </c>
      <c r="I123" s="257" t="s">
        <v>110</v>
      </c>
      <c r="J123" s="257" t="s">
        <v>111</v>
      </c>
      <c r="K123" s="257" t="s">
        <v>112</v>
      </c>
      <c r="L123" s="257" t="s">
        <v>113</v>
      </c>
      <c r="M123" s="190" t="s">
        <v>43</v>
      </c>
      <c r="N123" s="259"/>
      <c r="O123" s="192" t="s">
        <v>19</v>
      </c>
      <c r="P123" s="193" t="s">
        <v>10</v>
      </c>
      <c r="Q123" s="48"/>
    </row>
    <row r="124" spans="2:17" ht="14.5" x14ac:dyDescent="0.35">
      <c r="B124" s="45"/>
      <c r="C124" s="542" t="s">
        <v>27</v>
      </c>
      <c r="D124" s="542"/>
      <c r="E124" s="223">
        <f>Eingabe!N20</f>
        <v>0</v>
      </c>
      <c r="F124" s="198">
        <f>IF($E$28=0,0,E124/$E$51)</f>
        <v>0</v>
      </c>
      <c r="G124" s="258"/>
      <c r="H124" s="223">
        <f>H125+H128+H129</f>
        <v>0</v>
      </c>
      <c r="I124" s="223">
        <f t="shared" ref="I124" si="61">I125+I128+I129</f>
        <v>0</v>
      </c>
      <c r="J124" s="223">
        <f t="shared" ref="J124" si="62">J125+J128+J129</f>
        <v>0</v>
      </c>
      <c r="K124" s="223">
        <f t="shared" ref="K124" si="63">K125+K128+K129</f>
        <v>0</v>
      </c>
      <c r="L124" s="223">
        <f>SUM(H124:K124)</f>
        <v>0</v>
      </c>
      <c r="M124" s="198">
        <f t="shared" ref="M124:M135" si="64">IF(E124=0,0,L124/E124)</f>
        <v>0</v>
      </c>
      <c r="N124" s="259"/>
      <c r="O124" s="223">
        <f>IF(Eingabe!$Q$45="ja",SUM(O125+O128+O129),Overview!$AA$15)</f>
        <v>0</v>
      </c>
      <c r="P124" s="223">
        <f>IF(Eingabe!$Q$45="ja",L124-O124,Overview!$AA$15)</f>
        <v>0</v>
      </c>
      <c r="Q124" s="48"/>
    </row>
    <row r="125" spans="2:17" x14ac:dyDescent="0.35">
      <c r="B125" s="45"/>
      <c r="C125" s="552" t="s">
        <v>6</v>
      </c>
      <c r="D125" s="552"/>
      <c r="E125" s="203">
        <f>Eingabe!N21</f>
        <v>0</v>
      </c>
      <c r="F125" s="207">
        <f t="shared" ref="F125:F135" si="65">IF($E$28=0,0,E125/$E$51)</f>
        <v>0</v>
      </c>
      <c r="G125" s="258"/>
      <c r="H125" s="203">
        <f>H126+H127</f>
        <v>0</v>
      </c>
      <c r="I125" s="203">
        <f t="shared" ref="I125:K125" si="66">I126+I127</f>
        <v>0</v>
      </c>
      <c r="J125" s="203">
        <f t="shared" si="66"/>
        <v>0</v>
      </c>
      <c r="K125" s="203">
        <f t="shared" si="66"/>
        <v>0</v>
      </c>
      <c r="L125" s="203">
        <f t="shared" ref="L125:L135" si="67">SUM(H125:K125)</f>
        <v>0</v>
      </c>
      <c r="M125" s="207">
        <f t="shared" si="64"/>
        <v>0</v>
      </c>
      <c r="N125" s="259"/>
      <c r="O125" s="203">
        <f>IF(Eingabe!$Q$45="ja",O126+O127,Overview!$AA$15)</f>
        <v>0</v>
      </c>
      <c r="P125" s="203">
        <f>IF(Eingabe!$Q$45="ja",L125-O125,Overview!$AA$15)</f>
        <v>0</v>
      </c>
      <c r="Q125" s="48"/>
    </row>
    <row r="126" spans="2:17" x14ac:dyDescent="0.35">
      <c r="B126" s="45"/>
      <c r="C126" s="553" t="s">
        <v>26</v>
      </c>
      <c r="D126" s="553"/>
      <c r="E126" s="106">
        <f>Eingabe!N22</f>
        <v>0</v>
      </c>
      <c r="F126" s="212">
        <f t="shared" si="65"/>
        <v>0</v>
      </c>
      <c r="G126" s="141"/>
      <c r="H126" s="106">
        <f>'a.1) Angestellte'!R27</f>
        <v>0</v>
      </c>
      <c r="I126" s="106">
        <f>'a.1) Angestellte'!S27</f>
        <v>0</v>
      </c>
      <c r="J126" s="106">
        <f>'a.1) Angestellte'!T27</f>
        <v>0</v>
      </c>
      <c r="K126" s="106">
        <f>'a.1) Angestellte'!U27</f>
        <v>0</v>
      </c>
      <c r="L126" s="106">
        <f t="shared" si="67"/>
        <v>0</v>
      </c>
      <c r="M126" s="212">
        <f t="shared" si="64"/>
        <v>0</v>
      </c>
      <c r="N126" s="169"/>
      <c r="O126" s="106">
        <f>'a.1) Angestellte'!W27</f>
        <v>0</v>
      </c>
      <c r="P126" s="106">
        <f>'a.1) Angestellte'!X27</f>
        <v>0</v>
      </c>
      <c r="Q126" s="48"/>
    </row>
    <row r="127" spans="2:17" x14ac:dyDescent="0.35">
      <c r="B127" s="45"/>
      <c r="C127" s="553" t="s">
        <v>103</v>
      </c>
      <c r="D127" s="553"/>
      <c r="E127" s="106">
        <f>Eingabe!N23</f>
        <v>0</v>
      </c>
      <c r="F127" s="212">
        <f t="shared" si="65"/>
        <v>0</v>
      </c>
      <c r="G127" s="141"/>
      <c r="H127" s="106">
        <f>'a.2) Freie DN'!R27</f>
        <v>0</v>
      </c>
      <c r="I127" s="106">
        <f>'a.2) Freie DN'!S27</f>
        <v>0</v>
      </c>
      <c r="J127" s="106">
        <f>'a.2) Freie DN'!T27</f>
        <v>0</v>
      </c>
      <c r="K127" s="106">
        <f>'a.2) Freie DN'!U27</f>
        <v>0</v>
      </c>
      <c r="L127" s="106">
        <f t="shared" si="67"/>
        <v>0</v>
      </c>
      <c r="M127" s="212">
        <f t="shared" si="64"/>
        <v>0</v>
      </c>
      <c r="N127" s="169"/>
      <c r="O127" s="106">
        <f>'a.2) Freie DN'!W27</f>
        <v>0</v>
      </c>
      <c r="P127" s="106">
        <f>'a.2) Freie DN'!X27</f>
        <v>0</v>
      </c>
      <c r="Q127" s="48"/>
    </row>
    <row r="128" spans="2:17" x14ac:dyDescent="0.35">
      <c r="B128" s="45"/>
      <c r="C128" s="524" t="s">
        <v>15</v>
      </c>
      <c r="D128" s="524"/>
      <c r="E128" s="216">
        <f>Eingabe!N24</f>
        <v>0</v>
      </c>
      <c r="F128" s="198">
        <f t="shared" si="65"/>
        <v>0</v>
      </c>
      <c r="G128" s="141"/>
      <c r="H128" s="216">
        <f>'b) Reisekosten'!J27</f>
        <v>0</v>
      </c>
      <c r="I128" s="216">
        <f>'b) Reisekosten'!K27</f>
        <v>0</v>
      </c>
      <c r="J128" s="216">
        <f>'b) Reisekosten'!L27</f>
        <v>0</v>
      </c>
      <c r="K128" s="216">
        <f>'b) Reisekosten'!M27</f>
        <v>0</v>
      </c>
      <c r="L128" s="216">
        <f t="shared" si="67"/>
        <v>0</v>
      </c>
      <c r="M128" s="198">
        <f t="shared" si="64"/>
        <v>0</v>
      </c>
      <c r="N128" s="169"/>
      <c r="O128" s="216">
        <f>'b) Reisekosten'!O27</f>
        <v>0</v>
      </c>
      <c r="P128" s="216">
        <f>'b) Reisekosten'!P27</f>
        <v>0</v>
      </c>
      <c r="Q128" s="48"/>
    </row>
    <row r="129" spans="2:17" x14ac:dyDescent="0.35">
      <c r="B129" s="45"/>
      <c r="C129" s="552" t="s">
        <v>16</v>
      </c>
      <c r="D129" s="552"/>
      <c r="E129" s="203">
        <f>Eingabe!N25</f>
        <v>0</v>
      </c>
      <c r="F129" s="207">
        <f t="shared" si="65"/>
        <v>0</v>
      </c>
      <c r="G129" s="141"/>
      <c r="H129" s="203">
        <f>SUM(H130:H133)</f>
        <v>0</v>
      </c>
      <c r="I129" s="203">
        <f t="shared" ref="I129:K129" si="68">SUM(I130:I133)</f>
        <v>0</v>
      </c>
      <c r="J129" s="203">
        <f t="shared" si="68"/>
        <v>0</v>
      </c>
      <c r="K129" s="203">
        <f t="shared" si="68"/>
        <v>0</v>
      </c>
      <c r="L129" s="203">
        <f t="shared" si="67"/>
        <v>0</v>
      </c>
      <c r="M129" s="207">
        <f t="shared" si="64"/>
        <v>0</v>
      </c>
      <c r="N129" s="169"/>
      <c r="O129" s="203">
        <f>O130+O131+O132+O133</f>
        <v>0</v>
      </c>
      <c r="P129" s="203">
        <f>P130+P131+P132+P133</f>
        <v>0</v>
      </c>
      <c r="Q129" s="48"/>
    </row>
    <row r="130" spans="2:17" ht="14.5" x14ac:dyDescent="0.35">
      <c r="B130" s="45"/>
      <c r="C130" s="561" t="s">
        <v>25</v>
      </c>
      <c r="D130" s="562"/>
      <c r="E130" s="106">
        <f>Eingabe!N26</f>
        <v>0</v>
      </c>
      <c r="F130" s="212">
        <f t="shared" si="65"/>
        <v>0</v>
      </c>
      <c r="G130" s="141"/>
      <c r="H130" s="106">
        <f>'c.1) Immobilien'!J27</f>
        <v>0</v>
      </c>
      <c r="I130" s="106">
        <f>'c.1) Immobilien'!K27</f>
        <v>0</v>
      </c>
      <c r="J130" s="106">
        <f>'c.1) Immobilien'!L27</f>
        <v>0</v>
      </c>
      <c r="K130" s="106">
        <f>'c.1) Immobilien'!M27</f>
        <v>0</v>
      </c>
      <c r="L130" s="106">
        <f t="shared" si="67"/>
        <v>0</v>
      </c>
      <c r="M130" s="212">
        <f t="shared" si="64"/>
        <v>0</v>
      </c>
      <c r="N130" s="169"/>
      <c r="O130" s="106">
        <f>'c.1) Immobilien'!O27</f>
        <v>0</v>
      </c>
      <c r="P130" s="106">
        <f>'c.1) Immobilien'!P27</f>
        <v>0</v>
      </c>
      <c r="Q130" s="48"/>
    </row>
    <row r="131" spans="2:17" ht="14.5" x14ac:dyDescent="0.35">
      <c r="B131" s="45"/>
      <c r="C131" s="561" t="s">
        <v>106</v>
      </c>
      <c r="D131" s="562"/>
      <c r="E131" s="106">
        <f>Eingabe!N27</f>
        <v>0</v>
      </c>
      <c r="F131" s="212">
        <f t="shared" si="65"/>
        <v>0</v>
      </c>
      <c r="G131" s="141"/>
      <c r="H131" s="106">
        <f>'c.2) Sonstige'!J27</f>
        <v>0</v>
      </c>
      <c r="I131" s="106">
        <f>'c.2) Sonstige'!K27</f>
        <v>0</v>
      </c>
      <c r="J131" s="106">
        <f>'c.2) Sonstige'!L27</f>
        <v>0</v>
      </c>
      <c r="K131" s="106">
        <f>'c.2) Sonstige'!M27</f>
        <v>0</v>
      </c>
      <c r="L131" s="106">
        <f t="shared" si="67"/>
        <v>0</v>
      </c>
      <c r="M131" s="212">
        <f t="shared" si="64"/>
        <v>0</v>
      </c>
      <c r="N131" s="169"/>
      <c r="O131" s="106">
        <f>'c.2) Sonstige'!O27</f>
        <v>0</v>
      </c>
      <c r="P131" s="106">
        <f>'c.2) Sonstige'!P27</f>
        <v>0</v>
      </c>
      <c r="Q131" s="48"/>
    </row>
    <row r="132" spans="2:17" ht="14.5" x14ac:dyDescent="0.35">
      <c r="B132" s="45"/>
      <c r="C132" s="561" t="s">
        <v>108</v>
      </c>
      <c r="D132" s="562"/>
      <c r="E132" s="106">
        <f>Eingabe!N28</f>
        <v>0</v>
      </c>
      <c r="F132" s="212">
        <f t="shared" si="65"/>
        <v>0</v>
      </c>
      <c r="G132" s="141"/>
      <c r="H132" s="106">
        <f>'c.3) Anlagegüter'!M27</f>
        <v>0</v>
      </c>
      <c r="I132" s="106">
        <f>'c.3) Anlagegüter'!N27</f>
        <v>0</v>
      </c>
      <c r="J132" s="106">
        <f>'c.3) Anlagegüter'!O27</f>
        <v>0</v>
      </c>
      <c r="K132" s="106">
        <f>'c.3) Anlagegüter'!P27</f>
        <v>0</v>
      </c>
      <c r="L132" s="106">
        <f t="shared" si="67"/>
        <v>0</v>
      </c>
      <c r="M132" s="212">
        <f t="shared" si="64"/>
        <v>0</v>
      </c>
      <c r="N132" s="169"/>
      <c r="O132" s="106">
        <f>'c.3) Anlagegüter'!R27</f>
        <v>0</v>
      </c>
      <c r="P132" s="106">
        <f>'c.3) Anlagegüter'!S27</f>
        <v>0</v>
      </c>
      <c r="Q132" s="48"/>
    </row>
    <row r="133" spans="2:17" x14ac:dyDescent="0.35">
      <c r="B133" s="45"/>
      <c r="C133" s="553" t="s">
        <v>107</v>
      </c>
      <c r="D133" s="553"/>
      <c r="E133" s="106">
        <f>Eingabe!N29</f>
        <v>0</v>
      </c>
      <c r="F133" s="212">
        <f t="shared" si="65"/>
        <v>0</v>
      </c>
      <c r="G133" s="141"/>
      <c r="H133" s="106">
        <f>'c.4) Unteraufträge'!J27</f>
        <v>0</v>
      </c>
      <c r="I133" s="106">
        <f>'c.4) Unteraufträge'!K27</f>
        <v>0</v>
      </c>
      <c r="J133" s="106">
        <f>'c.4) Unteraufträge'!L27</f>
        <v>0</v>
      </c>
      <c r="K133" s="106">
        <f>'c.4) Unteraufträge'!M27</f>
        <v>0</v>
      </c>
      <c r="L133" s="106">
        <f t="shared" si="67"/>
        <v>0</v>
      </c>
      <c r="M133" s="212">
        <f t="shared" si="64"/>
        <v>0</v>
      </c>
      <c r="N133" s="169"/>
      <c r="O133" s="106">
        <f>'c.4) Unteraufträge'!O27</f>
        <v>0</v>
      </c>
      <c r="P133" s="106">
        <f>'c.4) Unteraufträge'!P27</f>
        <v>0</v>
      </c>
      <c r="Q133" s="48"/>
    </row>
    <row r="134" spans="2:17" ht="14.5" x14ac:dyDescent="0.35">
      <c r="B134" s="45"/>
      <c r="C134" s="547" t="s">
        <v>49</v>
      </c>
      <c r="D134" s="563"/>
      <c r="E134" s="223">
        <f>Eingabe!N30</f>
        <v>0</v>
      </c>
      <c r="F134" s="198">
        <f t="shared" si="65"/>
        <v>0</v>
      </c>
      <c r="G134" s="141"/>
      <c r="H134" s="223">
        <f>'d) Indirekte'!J27</f>
        <v>0</v>
      </c>
      <c r="I134" s="223">
        <f>'d) Indirekte'!K27</f>
        <v>0</v>
      </c>
      <c r="J134" s="223">
        <f>'d) Indirekte'!L27</f>
        <v>0</v>
      </c>
      <c r="K134" s="223">
        <f>'d) Indirekte'!M27</f>
        <v>0</v>
      </c>
      <c r="L134" s="223">
        <f t="shared" si="67"/>
        <v>0</v>
      </c>
      <c r="M134" s="198">
        <f t="shared" si="64"/>
        <v>0</v>
      </c>
      <c r="N134" s="169"/>
      <c r="O134" s="223">
        <f>'d) Indirekte'!O27</f>
        <v>0</v>
      </c>
      <c r="P134" s="223">
        <f>'d) Indirekte'!P27</f>
        <v>0</v>
      </c>
      <c r="Q134" s="48"/>
    </row>
    <row r="135" spans="2:17" ht="15.5" x14ac:dyDescent="0.35">
      <c r="B135" s="45"/>
      <c r="C135" s="560" t="s">
        <v>24</v>
      </c>
      <c r="D135" s="560"/>
      <c r="E135" s="226">
        <f>Eingabe!N31</f>
        <v>0</v>
      </c>
      <c r="F135" s="207">
        <f t="shared" si="65"/>
        <v>0</v>
      </c>
      <c r="G135" s="141"/>
      <c r="H135" s="226">
        <f>H124+H134</f>
        <v>0</v>
      </c>
      <c r="I135" s="226">
        <f t="shared" ref="I135:K135" si="69">I124+I134</f>
        <v>0</v>
      </c>
      <c r="J135" s="226">
        <f t="shared" si="69"/>
        <v>0</v>
      </c>
      <c r="K135" s="226">
        <f t="shared" si="69"/>
        <v>0</v>
      </c>
      <c r="L135" s="226">
        <f t="shared" si="67"/>
        <v>0</v>
      </c>
      <c r="M135" s="207">
        <f t="shared" si="64"/>
        <v>0</v>
      </c>
      <c r="N135" s="169"/>
      <c r="O135" s="226">
        <f>O124+O134</f>
        <v>0</v>
      </c>
      <c r="P135" s="226">
        <f>P124+P134</f>
        <v>0</v>
      </c>
      <c r="Q135" s="48"/>
    </row>
    <row r="136" spans="2:17" x14ac:dyDescent="0.35">
      <c r="B136" s="45"/>
      <c r="C136" s="169"/>
      <c r="D136" s="169"/>
      <c r="E136" s="169"/>
      <c r="F136" s="141"/>
      <c r="G136" s="141"/>
      <c r="H136" s="169"/>
      <c r="I136" s="141"/>
      <c r="J136" s="141"/>
      <c r="K136" s="141"/>
      <c r="L136" s="141"/>
      <c r="M136" s="169"/>
      <c r="N136" s="169"/>
      <c r="O136" s="169"/>
      <c r="P136" s="169"/>
      <c r="Q136" s="48"/>
    </row>
    <row r="137" spans="2:17" ht="29" x14ac:dyDescent="0.35">
      <c r="B137" s="45"/>
      <c r="C137" s="541" t="str">
        <f>Eingabe!O$18&amp;": "&amp;Eingabe!O$19</f>
        <v>Maßnahme 8: keine</v>
      </c>
      <c r="D137" s="541"/>
      <c r="E137" s="257" t="s">
        <v>23</v>
      </c>
      <c r="F137" s="190" t="s">
        <v>22</v>
      </c>
      <c r="G137" s="258"/>
      <c r="H137" s="257" t="s">
        <v>109</v>
      </c>
      <c r="I137" s="257" t="s">
        <v>110</v>
      </c>
      <c r="J137" s="257" t="s">
        <v>111</v>
      </c>
      <c r="K137" s="257" t="s">
        <v>112</v>
      </c>
      <c r="L137" s="257" t="s">
        <v>113</v>
      </c>
      <c r="M137" s="190" t="s">
        <v>43</v>
      </c>
      <c r="N137" s="259"/>
      <c r="O137" s="192" t="s">
        <v>19</v>
      </c>
      <c r="P137" s="193" t="s">
        <v>10</v>
      </c>
      <c r="Q137" s="48"/>
    </row>
    <row r="138" spans="2:17" ht="14.5" x14ac:dyDescent="0.35">
      <c r="B138" s="45"/>
      <c r="C138" s="542" t="s">
        <v>27</v>
      </c>
      <c r="D138" s="542"/>
      <c r="E138" s="223">
        <f>Eingabe!O20</f>
        <v>0</v>
      </c>
      <c r="F138" s="198">
        <f>IF($E$28=0,0,E138/$E$51)</f>
        <v>0</v>
      </c>
      <c r="G138" s="258"/>
      <c r="H138" s="223">
        <f>H139+H142+H143</f>
        <v>0</v>
      </c>
      <c r="I138" s="223">
        <f t="shared" ref="I138" si="70">I139+I142+I143</f>
        <v>0</v>
      </c>
      <c r="J138" s="223">
        <f t="shared" ref="J138" si="71">J139+J142+J143</f>
        <v>0</v>
      </c>
      <c r="K138" s="223">
        <f t="shared" ref="K138" si="72">K139+K142+K143</f>
        <v>0</v>
      </c>
      <c r="L138" s="223">
        <f>SUM(H138:K138)</f>
        <v>0</v>
      </c>
      <c r="M138" s="198">
        <f t="shared" ref="M138:M149" si="73">IF(E138=0,0,L138/E138)</f>
        <v>0</v>
      </c>
      <c r="N138" s="259"/>
      <c r="O138" s="223">
        <f>IF(Eingabe!$Q$45="ja",SUM(O139+O142+O143),Overview!$AA$15)</f>
        <v>0</v>
      </c>
      <c r="P138" s="223">
        <f>IF(Eingabe!$Q$45="ja",L138-O138,Overview!$AA$15)</f>
        <v>0</v>
      </c>
      <c r="Q138" s="48"/>
    </row>
    <row r="139" spans="2:17" x14ac:dyDescent="0.35">
      <c r="B139" s="45"/>
      <c r="C139" s="552" t="s">
        <v>6</v>
      </c>
      <c r="D139" s="552"/>
      <c r="E139" s="203">
        <f>Eingabe!O21</f>
        <v>0</v>
      </c>
      <c r="F139" s="207">
        <f t="shared" ref="F139:F149" si="74">IF($E$28=0,0,E139/$E$51)</f>
        <v>0</v>
      </c>
      <c r="G139" s="258"/>
      <c r="H139" s="203">
        <f>H140+H141</f>
        <v>0</v>
      </c>
      <c r="I139" s="203">
        <f t="shared" ref="I139:K139" si="75">I140+I141</f>
        <v>0</v>
      </c>
      <c r="J139" s="203">
        <f t="shared" si="75"/>
        <v>0</v>
      </c>
      <c r="K139" s="203">
        <f t="shared" si="75"/>
        <v>0</v>
      </c>
      <c r="L139" s="203">
        <f t="shared" ref="L139:L149" si="76">SUM(H139:K139)</f>
        <v>0</v>
      </c>
      <c r="M139" s="207">
        <f t="shared" si="73"/>
        <v>0</v>
      </c>
      <c r="N139" s="259"/>
      <c r="O139" s="203">
        <f>IF(Eingabe!$Q$45="ja",O140+O141,Overview!$AA$15)</f>
        <v>0</v>
      </c>
      <c r="P139" s="203">
        <f>IF(Eingabe!$Q$45="ja",L139-O139,Overview!$AA$15)</f>
        <v>0</v>
      </c>
      <c r="Q139" s="48"/>
    </row>
    <row r="140" spans="2:17" x14ac:dyDescent="0.35">
      <c r="B140" s="45"/>
      <c r="C140" s="553" t="s">
        <v>26</v>
      </c>
      <c r="D140" s="553"/>
      <c r="E140" s="106">
        <f>Eingabe!O22</f>
        <v>0</v>
      </c>
      <c r="F140" s="212">
        <f t="shared" si="74"/>
        <v>0</v>
      </c>
      <c r="G140" s="141"/>
      <c r="H140" s="106">
        <f>'a.1) Angestellte'!R28</f>
        <v>0</v>
      </c>
      <c r="I140" s="106">
        <f>'a.1) Angestellte'!S28</f>
        <v>0</v>
      </c>
      <c r="J140" s="106">
        <f>'a.1) Angestellte'!T28</f>
        <v>0</v>
      </c>
      <c r="K140" s="106">
        <f>'a.1) Angestellte'!U28</f>
        <v>0</v>
      </c>
      <c r="L140" s="106">
        <f t="shared" si="76"/>
        <v>0</v>
      </c>
      <c r="M140" s="212">
        <f t="shared" si="73"/>
        <v>0</v>
      </c>
      <c r="N140" s="169"/>
      <c r="O140" s="106">
        <f>'a.1) Angestellte'!W28</f>
        <v>0</v>
      </c>
      <c r="P140" s="106">
        <f>'a.1) Angestellte'!X28</f>
        <v>0</v>
      </c>
      <c r="Q140" s="48"/>
    </row>
    <row r="141" spans="2:17" x14ac:dyDescent="0.35">
      <c r="B141" s="45"/>
      <c r="C141" s="553" t="s">
        <v>103</v>
      </c>
      <c r="D141" s="553"/>
      <c r="E141" s="106">
        <f>Eingabe!O23</f>
        <v>0</v>
      </c>
      <c r="F141" s="212">
        <f t="shared" si="74"/>
        <v>0</v>
      </c>
      <c r="G141" s="141"/>
      <c r="H141" s="106">
        <f>'a.2) Freie DN'!R28</f>
        <v>0</v>
      </c>
      <c r="I141" s="106">
        <f>'a.2) Freie DN'!S28</f>
        <v>0</v>
      </c>
      <c r="J141" s="106">
        <f>'a.2) Freie DN'!T28</f>
        <v>0</v>
      </c>
      <c r="K141" s="106">
        <f>'a.2) Freie DN'!U28</f>
        <v>0</v>
      </c>
      <c r="L141" s="106">
        <f t="shared" si="76"/>
        <v>0</v>
      </c>
      <c r="M141" s="212">
        <f t="shared" si="73"/>
        <v>0</v>
      </c>
      <c r="N141" s="169"/>
      <c r="O141" s="106">
        <f>'a.2) Freie DN'!W28</f>
        <v>0</v>
      </c>
      <c r="P141" s="106">
        <f>'a.2) Freie DN'!X28</f>
        <v>0</v>
      </c>
      <c r="Q141" s="48"/>
    </row>
    <row r="142" spans="2:17" x14ac:dyDescent="0.35">
      <c r="B142" s="45"/>
      <c r="C142" s="524" t="s">
        <v>15</v>
      </c>
      <c r="D142" s="524"/>
      <c r="E142" s="216">
        <f>Eingabe!O24</f>
        <v>0</v>
      </c>
      <c r="F142" s="198">
        <f t="shared" si="74"/>
        <v>0</v>
      </c>
      <c r="G142" s="141"/>
      <c r="H142" s="216">
        <f>'b) Reisekosten'!J28</f>
        <v>0</v>
      </c>
      <c r="I142" s="216">
        <f>'b) Reisekosten'!K28</f>
        <v>0</v>
      </c>
      <c r="J142" s="216">
        <f>'b) Reisekosten'!L28</f>
        <v>0</v>
      </c>
      <c r="K142" s="216">
        <f>'b) Reisekosten'!M28</f>
        <v>0</v>
      </c>
      <c r="L142" s="216">
        <f t="shared" si="76"/>
        <v>0</v>
      </c>
      <c r="M142" s="198">
        <f t="shared" si="73"/>
        <v>0</v>
      </c>
      <c r="N142" s="169"/>
      <c r="O142" s="216">
        <f>'b) Reisekosten'!O28</f>
        <v>0</v>
      </c>
      <c r="P142" s="216">
        <f>'b) Reisekosten'!P28</f>
        <v>0</v>
      </c>
      <c r="Q142" s="48"/>
    </row>
    <row r="143" spans="2:17" x14ac:dyDescent="0.35">
      <c r="B143" s="45"/>
      <c r="C143" s="552" t="s">
        <v>16</v>
      </c>
      <c r="D143" s="552"/>
      <c r="E143" s="203">
        <f>Eingabe!O25</f>
        <v>0</v>
      </c>
      <c r="F143" s="207">
        <f t="shared" si="74"/>
        <v>0</v>
      </c>
      <c r="G143" s="141"/>
      <c r="H143" s="203">
        <f>SUM(H144:H147)</f>
        <v>0</v>
      </c>
      <c r="I143" s="203">
        <f t="shared" ref="I143:K143" si="77">SUM(I144:I147)</f>
        <v>0</v>
      </c>
      <c r="J143" s="203">
        <f t="shared" si="77"/>
        <v>0</v>
      </c>
      <c r="K143" s="203">
        <f t="shared" si="77"/>
        <v>0</v>
      </c>
      <c r="L143" s="203">
        <f t="shared" si="76"/>
        <v>0</v>
      </c>
      <c r="M143" s="207">
        <f t="shared" si="73"/>
        <v>0</v>
      </c>
      <c r="N143" s="169"/>
      <c r="O143" s="203">
        <f>O144+O145+O146+O147</f>
        <v>0</v>
      </c>
      <c r="P143" s="203">
        <f>P144+P145+P146+P147</f>
        <v>0</v>
      </c>
      <c r="Q143" s="48"/>
    </row>
    <row r="144" spans="2:17" ht="14.5" x14ac:dyDescent="0.35">
      <c r="B144" s="45"/>
      <c r="C144" s="561" t="s">
        <v>25</v>
      </c>
      <c r="D144" s="562"/>
      <c r="E144" s="106">
        <f>Eingabe!O26</f>
        <v>0</v>
      </c>
      <c r="F144" s="212">
        <f t="shared" si="74"/>
        <v>0</v>
      </c>
      <c r="G144" s="141"/>
      <c r="H144" s="106">
        <f>'c.1) Immobilien'!J28</f>
        <v>0</v>
      </c>
      <c r="I144" s="106">
        <f>'c.1) Immobilien'!K28</f>
        <v>0</v>
      </c>
      <c r="J144" s="106">
        <f>'c.1) Immobilien'!L28</f>
        <v>0</v>
      </c>
      <c r="K144" s="106">
        <f>'c.1) Immobilien'!M28</f>
        <v>0</v>
      </c>
      <c r="L144" s="106">
        <f t="shared" si="76"/>
        <v>0</v>
      </c>
      <c r="M144" s="212">
        <f t="shared" si="73"/>
        <v>0</v>
      </c>
      <c r="N144" s="169"/>
      <c r="O144" s="106">
        <f>'c.1) Immobilien'!O28</f>
        <v>0</v>
      </c>
      <c r="P144" s="106">
        <f>'c.1) Immobilien'!P28</f>
        <v>0</v>
      </c>
      <c r="Q144" s="48"/>
    </row>
    <row r="145" spans="2:17" ht="14.5" x14ac:dyDescent="0.35">
      <c r="B145" s="45"/>
      <c r="C145" s="561" t="s">
        <v>106</v>
      </c>
      <c r="D145" s="562"/>
      <c r="E145" s="106">
        <f>Eingabe!O27</f>
        <v>0</v>
      </c>
      <c r="F145" s="212">
        <f t="shared" si="74"/>
        <v>0</v>
      </c>
      <c r="G145" s="141"/>
      <c r="H145" s="106">
        <f>'c.2) Sonstige'!J28</f>
        <v>0</v>
      </c>
      <c r="I145" s="106">
        <f>'c.2) Sonstige'!K28</f>
        <v>0</v>
      </c>
      <c r="J145" s="106">
        <f>'c.2) Sonstige'!L28</f>
        <v>0</v>
      </c>
      <c r="K145" s="106">
        <f>'c.2) Sonstige'!M28</f>
        <v>0</v>
      </c>
      <c r="L145" s="106">
        <f t="shared" si="76"/>
        <v>0</v>
      </c>
      <c r="M145" s="212">
        <f t="shared" si="73"/>
        <v>0</v>
      </c>
      <c r="N145" s="169"/>
      <c r="O145" s="106">
        <f>'c.2) Sonstige'!O28</f>
        <v>0</v>
      </c>
      <c r="P145" s="106">
        <f>'c.2) Sonstige'!P28</f>
        <v>0</v>
      </c>
      <c r="Q145" s="48"/>
    </row>
    <row r="146" spans="2:17" ht="14.5" x14ac:dyDescent="0.35">
      <c r="B146" s="45"/>
      <c r="C146" s="561" t="s">
        <v>108</v>
      </c>
      <c r="D146" s="562"/>
      <c r="E146" s="106">
        <f>Eingabe!O28</f>
        <v>0</v>
      </c>
      <c r="F146" s="212">
        <f t="shared" si="74"/>
        <v>0</v>
      </c>
      <c r="G146" s="141"/>
      <c r="H146" s="106">
        <f>'c.3) Anlagegüter'!M28</f>
        <v>0</v>
      </c>
      <c r="I146" s="106">
        <f>'c.3) Anlagegüter'!N28</f>
        <v>0</v>
      </c>
      <c r="J146" s="106">
        <f>'c.3) Anlagegüter'!O28</f>
        <v>0</v>
      </c>
      <c r="K146" s="106">
        <f>'c.3) Anlagegüter'!P28</f>
        <v>0</v>
      </c>
      <c r="L146" s="106">
        <f t="shared" si="76"/>
        <v>0</v>
      </c>
      <c r="M146" s="212">
        <f t="shared" si="73"/>
        <v>0</v>
      </c>
      <c r="N146" s="169"/>
      <c r="O146" s="106">
        <f>'c.3) Anlagegüter'!R28</f>
        <v>0</v>
      </c>
      <c r="P146" s="106">
        <f>'c.3) Anlagegüter'!S28</f>
        <v>0</v>
      </c>
      <c r="Q146" s="48"/>
    </row>
    <row r="147" spans="2:17" x14ac:dyDescent="0.35">
      <c r="B147" s="45"/>
      <c r="C147" s="553" t="s">
        <v>107</v>
      </c>
      <c r="D147" s="553"/>
      <c r="E147" s="106">
        <f>Eingabe!O29</f>
        <v>0</v>
      </c>
      <c r="F147" s="212">
        <f t="shared" si="74"/>
        <v>0</v>
      </c>
      <c r="G147" s="141"/>
      <c r="H147" s="106">
        <f>'c.4) Unteraufträge'!J28</f>
        <v>0</v>
      </c>
      <c r="I147" s="106">
        <f>'c.4) Unteraufträge'!K28</f>
        <v>0</v>
      </c>
      <c r="J147" s="106">
        <f>'c.4) Unteraufträge'!L28</f>
        <v>0</v>
      </c>
      <c r="K147" s="106">
        <f>'c.4) Unteraufträge'!M28</f>
        <v>0</v>
      </c>
      <c r="L147" s="106">
        <f t="shared" si="76"/>
        <v>0</v>
      </c>
      <c r="M147" s="212">
        <f t="shared" si="73"/>
        <v>0</v>
      </c>
      <c r="N147" s="169"/>
      <c r="O147" s="106">
        <f>'c.4) Unteraufträge'!O28</f>
        <v>0</v>
      </c>
      <c r="P147" s="106">
        <f>'c.4) Unteraufträge'!P28</f>
        <v>0</v>
      </c>
      <c r="Q147" s="48"/>
    </row>
    <row r="148" spans="2:17" ht="14.5" x14ac:dyDescent="0.35">
      <c r="B148" s="45"/>
      <c r="C148" s="547" t="s">
        <v>49</v>
      </c>
      <c r="D148" s="563"/>
      <c r="E148" s="223">
        <f>Eingabe!O30</f>
        <v>0</v>
      </c>
      <c r="F148" s="198">
        <f t="shared" si="74"/>
        <v>0</v>
      </c>
      <c r="G148" s="141"/>
      <c r="H148" s="223">
        <f>'d) Indirekte'!J28</f>
        <v>0</v>
      </c>
      <c r="I148" s="223">
        <f>'d) Indirekte'!K28</f>
        <v>0</v>
      </c>
      <c r="J148" s="223">
        <f>'d) Indirekte'!L28</f>
        <v>0</v>
      </c>
      <c r="K148" s="223">
        <f>'d) Indirekte'!M28</f>
        <v>0</v>
      </c>
      <c r="L148" s="223">
        <f t="shared" si="76"/>
        <v>0</v>
      </c>
      <c r="M148" s="198">
        <f t="shared" si="73"/>
        <v>0</v>
      </c>
      <c r="N148" s="169"/>
      <c r="O148" s="223">
        <f>'d) Indirekte'!O28</f>
        <v>0</v>
      </c>
      <c r="P148" s="223">
        <f>'d) Indirekte'!P28</f>
        <v>0</v>
      </c>
      <c r="Q148" s="48"/>
    </row>
    <row r="149" spans="2:17" ht="15.5" x14ac:dyDescent="0.35">
      <c r="B149" s="45"/>
      <c r="C149" s="560" t="s">
        <v>24</v>
      </c>
      <c r="D149" s="560"/>
      <c r="E149" s="226">
        <f>Eingabe!O31</f>
        <v>0</v>
      </c>
      <c r="F149" s="207">
        <f t="shared" si="74"/>
        <v>0</v>
      </c>
      <c r="G149" s="141"/>
      <c r="H149" s="226">
        <f>H138+H148</f>
        <v>0</v>
      </c>
      <c r="I149" s="226">
        <f t="shared" ref="I149:K149" si="78">I138+I148</f>
        <v>0</v>
      </c>
      <c r="J149" s="226">
        <f t="shared" si="78"/>
        <v>0</v>
      </c>
      <c r="K149" s="226">
        <f t="shared" si="78"/>
        <v>0</v>
      </c>
      <c r="L149" s="226">
        <f t="shared" si="76"/>
        <v>0</v>
      </c>
      <c r="M149" s="207">
        <f t="shared" si="73"/>
        <v>0</v>
      </c>
      <c r="N149" s="169"/>
      <c r="O149" s="226">
        <f>O138+O148</f>
        <v>0</v>
      </c>
      <c r="P149" s="226">
        <f>P138+P148</f>
        <v>0</v>
      </c>
      <c r="Q149" s="48"/>
    </row>
    <row r="150" spans="2:17" x14ac:dyDescent="0.35">
      <c r="B150" s="45"/>
      <c r="C150" s="169"/>
      <c r="D150" s="169"/>
      <c r="E150" s="169"/>
      <c r="F150" s="141"/>
      <c r="G150" s="141"/>
      <c r="H150" s="169"/>
      <c r="I150" s="141"/>
      <c r="J150" s="141"/>
      <c r="K150" s="141"/>
      <c r="L150" s="141"/>
      <c r="M150" s="169"/>
      <c r="N150" s="169"/>
      <c r="O150" s="169"/>
      <c r="P150" s="169"/>
      <c r="Q150" s="48"/>
    </row>
    <row r="151" spans="2:17" ht="29" x14ac:dyDescent="0.35">
      <c r="B151" s="45"/>
      <c r="C151" s="541" t="str">
        <f>Eingabe!P$18&amp;": "&amp;Eingabe!P$19</f>
        <v>Maßnahme 9: keine</v>
      </c>
      <c r="D151" s="541"/>
      <c r="E151" s="257" t="s">
        <v>23</v>
      </c>
      <c r="F151" s="190" t="s">
        <v>22</v>
      </c>
      <c r="G151" s="258"/>
      <c r="H151" s="257" t="s">
        <v>109</v>
      </c>
      <c r="I151" s="257" t="s">
        <v>110</v>
      </c>
      <c r="J151" s="257" t="s">
        <v>111</v>
      </c>
      <c r="K151" s="257" t="s">
        <v>112</v>
      </c>
      <c r="L151" s="257" t="s">
        <v>113</v>
      </c>
      <c r="M151" s="190" t="s">
        <v>43</v>
      </c>
      <c r="N151" s="259"/>
      <c r="O151" s="192" t="s">
        <v>19</v>
      </c>
      <c r="P151" s="193" t="s">
        <v>10</v>
      </c>
      <c r="Q151" s="48"/>
    </row>
    <row r="152" spans="2:17" ht="14.5" x14ac:dyDescent="0.35">
      <c r="B152" s="45"/>
      <c r="C152" s="542" t="s">
        <v>27</v>
      </c>
      <c r="D152" s="542"/>
      <c r="E152" s="223">
        <f>Eingabe!P20</f>
        <v>0</v>
      </c>
      <c r="F152" s="198">
        <f>IF($E$28=0,0,E152/$E$51)</f>
        <v>0</v>
      </c>
      <c r="G152" s="258"/>
      <c r="H152" s="223">
        <f>H153+H156+H157</f>
        <v>0</v>
      </c>
      <c r="I152" s="223">
        <f t="shared" ref="I152" si="79">I153+I156+I157</f>
        <v>0</v>
      </c>
      <c r="J152" s="223">
        <f t="shared" ref="J152" si="80">J153+J156+J157</f>
        <v>0</v>
      </c>
      <c r="K152" s="223">
        <f t="shared" ref="K152" si="81">K153+K156+K157</f>
        <v>0</v>
      </c>
      <c r="L152" s="223">
        <f>SUM(H152:K152)</f>
        <v>0</v>
      </c>
      <c r="M152" s="198">
        <f t="shared" ref="M152:M163" si="82">IF(E152=0,0,L152/E152)</f>
        <v>0</v>
      </c>
      <c r="N152" s="259"/>
      <c r="O152" s="223">
        <f>IF(Eingabe!$Q$45="ja",SUM(O153+O156+O157),Overview!$AA$15)</f>
        <v>0</v>
      </c>
      <c r="P152" s="223">
        <f>IF(Eingabe!$Q$45="ja",L152-O152,Overview!$AA$15)</f>
        <v>0</v>
      </c>
      <c r="Q152" s="48"/>
    </row>
    <row r="153" spans="2:17" x14ac:dyDescent="0.35">
      <c r="B153" s="45"/>
      <c r="C153" s="552" t="s">
        <v>6</v>
      </c>
      <c r="D153" s="552"/>
      <c r="E153" s="203">
        <f>Eingabe!P21</f>
        <v>0</v>
      </c>
      <c r="F153" s="207">
        <f t="shared" ref="F153:F163" si="83">IF($E$28=0,0,E153/$E$51)</f>
        <v>0</v>
      </c>
      <c r="G153" s="258"/>
      <c r="H153" s="203">
        <f>H154+H155</f>
        <v>0</v>
      </c>
      <c r="I153" s="203">
        <f t="shared" ref="I153:K153" si="84">I154+I155</f>
        <v>0</v>
      </c>
      <c r="J153" s="203">
        <f t="shared" si="84"/>
        <v>0</v>
      </c>
      <c r="K153" s="203">
        <f t="shared" si="84"/>
        <v>0</v>
      </c>
      <c r="L153" s="203">
        <f t="shared" ref="L153:L163" si="85">SUM(H153:K153)</f>
        <v>0</v>
      </c>
      <c r="M153" s="207">
        <f t="shared" si="82"/>
        <v>0</v>
      </c>
      <c r="N153" s="259"/>
      <c r="O153" s="203">
        <f>IF(Eingabe!$Q$45="ja",O154+O155,Overview!$AA$15)</f>
        <v>0</v>
      </c>
      <c r="P153" s="203">
        <f>IF(Eingabe!$Q$45="ja",L153-O153,Overview!$AA$15)</f>
        <v>0</v>
      </c>
      <c r="Q153" s="48"/>
    </row>
    <row r="154" spans="2:17" x14ac:dyDescent="0.35">
      <c r="B154" s="45"/>
      <c r="C154" s="553" t="s">
        <v>26</v>
      </c>
      <c r="D154" s="553"/>
      <c r="E154" s="106">
        <f>Eingabe!P22</f>
        <v>0</v>
      </c>
      <c r="F154" s="212">
        <f t="shared" si="83"/>
        <v>0</v>
      </c>
      <c r="G154" s="141"/>
      <c r="H154" s="106">
        <f>'a.1) Angestellte'!R29</f>
        <v>0</v>
      </c>
      <c r="I154" s="106">
        <f>'a.1) Angestellte'!S29</f>
        <v>0</v>
      </c>
      <c r="J154" s="106">
        <f>'a.1) Angestellte'!T29</f>
        <v>0</v>
      </c>
      <c r="K154" s="106">
        <f>'a.1) Angestellte'!U29</f>
        <v>0</v>
      </c>
      <c r="L154" s="106">
        <f t="shared" si="85"/>
        <v>0</v>
      </c>
      <c r="M154" s="212">
        <f t="shared" si="82"/>
        <v>0</v>
      </c>
      <c r="N154" s="169"/>
      <c r="O154" s="106">
        <f>'a.1) Angestellte'!W29</f>
        <v>0</v>
      </c>
      <c r="P154" s="106">
        <f>'a.1) Angestellte'!X29</f>
        <v>0</v>
      </c>
      <c r="Q154" s="48"/>
    </row>
    <row r="155" spans="2:17" x14ac:dyDescent="0.35">
      <c r="B155" s="45"/>
      <c r="C155" s="553" t="s">
        <v>103</v>
      </c>
      <c r="D155" s="553"/>
      <c r="E155" s="106">
        <f>Eingabe!P23</f>
        <v>0</v>
      </c>
      <c r="F155" s="212">
        <f t="shared" si="83"/>
        <v>0</v>
      </c>
      <c r="G155" s="141"/>
      <c r="H155" s="106">
        <f>'a.2) Freie DN'!R29</f>
        <v>0</v>
      </c>
      <c r="I155" s="106">
        <f>'a.2) Freie DN'!S29</f>
        <v>0</v>
      </c>
      <c r="J155" s="106">
        <f>'a.2) Freie DN'!T29</f>
        <v>0</v>
      </c>
      <c r="K155" s="106">
        <f>'a.2) Freie DN'!U29</f>
        <v>0</v>
      </c>
      <c r="L155" s="106">
        <f t="shared" si="85"/>
        <v>0</v>
      </c>
      <c r="M155" s="212">
        <f t="shared" si="82"/>
        <v>0</v>
      </c>
      <c r="N155" s="169"/>
      <c r="O155" s="106">
        <f>'a.2) Freie DN'!W29</f>
        <v>0</v>
      </c>
      <c r="P155" s="106">
        <f>'a.2) Freie DN'!X29</f>
        <v>0</v>
      </c>
      <c r="Q155" s="48"/>
    </row>
    <row r="156" spans="2:17" x14ac:dyDescent="0.35">
      <c r="B156" s="45"/>
      <c r="C156" s="524" t="s">
        <v>15</v>
      </c>
      <c r="D156" s="524"/>
      <c r="E156" s="216">
        <f>Eingabe!P24</f>
        <v>0</v>
      </c>
      <c r="F156" s="198">
        <f t="shared" si="83"/>
        <v>0</v>
      </c>
      <c r="G156" s="141"/>
      <c r="H156" s="216">
        <f>'b) Reisekosten'!J29</f>
        <v>0</v>
      </c>
      <c r="I156" s="216">
        <f>'b) Reisekosten'!K29</f>
        <v>0</v>
      </c>
      <c r="J156" s="216">
        <f>'b) Reisekosten'!L29</f>
        <v>0</v>
      </c>
      <c r="K156" s="216">
        <f>'b) Reisekosten'!M29</f>
        <v>0</v>
      </c>
      <c r="L156" s="216">
        <f t="shared" si="85"/>
        <v>0</v>
      </c>
      <c r="M156" s="198">
        <f t="shared" si="82"/>
        <v>0</v>
      </c>
      <c r="N156" s="169"/>
      <c r="O156" s="216">
        <f>'b) Reisekosten'!O29</f>
        <v>0</v>
      </c>
      <c r="P156" s="216">
        <f>'b) Reisekosten'!P29</f>
        <v>0</v>
      </c>
      <c r="Q156" s="48"/>
    </row>
    <row r="157" spans="2:17" x14ac:dyDescent="0.35">
      <c r="B157" s="45"/>
      <c r="C157" s="552" t="s">
        <v>16</v>
      </c>
      <c r="D157" s="552"/>
      <c r="E157" s="203">
        <f>Eingabe!P25</f>
        <v>0</v>
      </c>
      <c r="F157" s="207">
        <f t="shared" si="83"/>
        <v>0</v>
      </c>
      <c r="G157" s="141"/>
      <c r="H157" s="203">
        <f>SUM(H158:H161)</f>
        <v>0</v>
      </c>
      <c r="I157" s="203">
        <f t="shared" ref="I157:K157" si="86">SUM(I158:I161)</f>
        <v>0</v>
      </c>
      <c r="J157" s="203">
        <f t="shared" si="86"/>
        <v>0</v>
      </c>
      <c r="K157" s="203">
        <f t="shared" si="86"/>
        <v>0</v>
      </c>
      <c r="L157" s="203">
        <f t="shared" si="85"/>
        <v>0</v>
      </c>
      <c r="M157" s="207">
        <f t="shared" si="82"/>
        <v>0</v>
      </c>
      <c r="N157" s="169"/>
      <c r="O157" s="203">
        <f>O158+O159+O160+O161</f>
        <v>0</v>
      </c>
      <c r="P157" s="203">
        <f>P158+P159+P160+P161</f>
        <v>0</v>
      </c>
      <c r="Q157" s="48"/>
    </row>
    <row r="158" spans="2:17" ht="14.5" x14ac:dyDescent="0.35">
      <c r="B158" s="45"/>
      <c r="C158" s="561" t="s">
        <v>25</v>
      </c>
      <c r="D158" s="562"/>
      <c r="E158" s="106">
        <f>Eingabe!P26</f>
        <v>0</v>
      </c>
      <c r="F158" s="212">
        <f t="shared" si="83"/>
        <v>0</v>
      </c>
      <c r="G158" s="141"/>
      <c r="H158" s="106">
        <f>'c.1) Immobilien'!J29</f>
        <v>0</v>
      </c>
      <c r="I158" s="106">
        <f>'c.1) Immobilien'!K29</f>
        <v>0</v>
      </c>
      <c r="J158" s="106">
        <f>'c.1) Immobilien'!L29</f>
        <v>0</v>
      </c>
      <c r="K158" s="106">
        <f>'c.1) Immobilien'!M29</f>
        <v>0</v>
      </c>
      <c r="L158" s="106">
        <f t="shared" si="85"/>
        <v>0</v>
      </c>
      <c r="M158" s="212">
        <f t="shared" si="82"/>
        <v>0</v>
      </c>
      <c r="N158" s="169"/>
      <c r="O158" s="106">
        <f>'c.1) Immobilien'!O29</f>
        <v>0</v>
      </c>
      <c r="P158" s="106">
        <f>'c.1) Immobilien'!P29</f>
        <v>0</v>
      </c>
      <c r="Q158" s="48"/>
    </row>
    <row r="159" spans="2:17" ht="14.5" x14ac:dyDescent="0.35">
      <c r="B159" s="45"/>
      <c r="C159" s="561" t="s">
        <v>106</v>
      </c>
      <c r="D159" s="562"/>
      <c r="E159" s="106">
        <f>Eingabe!P27</f>
        <v>0</v>
      </c>
      <c r="F159" s="212">
        <f t="shared" si="83"/>
        <v>0</v>
      </c>
      <c r="G159" s="141"/>
      <c r="H159" s="106">
        <f>'c.2) Sonstige'!J29</f>
        <v>0</v>
      </c>
      <c r="I159" s="106">
        <f>'c.2) Sonstige'!K29</f>
        <v>0</v>
      </c>
      <c r="J159" s="106">
        <f>'c.2) Sonstige'!L29</f>
        <v>0</v>
      </c>
      <c r="K159" s="106">
        <f>'c.2) Sonstige'!M29</f>
        <v>0</v>
      </c>
      <c r="L159" s="106">
        <f t="shared" si="85"/>
        <v>0</v>
      </c>
      <c r="M159" s="212">
        <f t="shared" si="82"/>
        <v>0</v>
      </c>
      <c r="N159" s="169"/>
      <c r="O159" s="106">
        <f>'c.2) Sonstige'!O29</f>
        <v>0</v>
      </c>
      <c r="P159" s="106">
        <f>'c.2) Sonstige'!P29</f>
        <v>0</v>
      </c>
      <c r="Q159" s="48"/>
    </row>
    <row r="160" spans="2:17" ht="14.5" x14ac:dyDescent="0.35">
      <c r="B160" s="45"/>
      <c r="C160" s="561" t="s">
        <v>108</v>
      </c>
      <c r="D160" s="562"/>
      <c r="E160" s="106">
        <f>Eingabe!P28</f>
        <v>0</v>
      </c>
      <c r="F160" s="212">
        <f t="shared" si="83"/>
        <v>0</v>
      </c>
      <c r="G160" s="141"/>
      <c r="H160" s="106">
        <f>'c.3) Anlagegüter'!M29</f>
        <v>0</v>
      </c>
      <c r="I160" s="106">
        <f>'c.3) Anlagegüter'!N29</f>
        <v>0</v>
      </c>
      <c r="J160" s="106">
        <f>'c.3) Anlagegüter'!O29</f>
        <v>0</v>
      </c>
      <c r="K160" s="106">
        <f>'c.3) Anlagegüter'!P29</f>
        <v>0</v>
      </c>
      <c r="L160" s="106">
        <f t="shared" si="85"/>
        <v>0</v>
      </c>
      <c r="M160" s="212">
        <f t="shared" si="82"/>
        <v>0</v>
      </c>
      <c r="N160" s="169"/>
      <c r="O160" s="106">
        <f>'c.3) Anlagegüter'!R29</f>
        <v>0</v>
      </c>
      <c r="P160" s="106">
        <f>'c.3) Anlagegüter'!S29</f>
        <v>0</v>
      </c>
      <c r="Q160" s="48"/>
    </row>
    <row r="161" spans="2:17" x14ac:dyDescent="0.35">
      <c r="B161" s="45"/>
      <c r="C161" s="553" t="s">
        <v>107</v>
      </c>
      <c r="D161" s="553"/>
      <c r="E161" s="106">
        <f>Eingabe!P29</f>
        <v>0</v>
      </c>
      <c r="F161" s="212">
        <f t="shared" si="83"/>
        <v>0</v>
      </c>
      <c r="G161" s="141"/>
      <c r="H161" s="106">
        <f>'c.4) Unteraufträge'!J29</f>
        <v>0</v>
      </c>
      <c r="I161" s="106">
        <f>'c.4) Unteraufträge'!K29</f>
        <v>0</v>
      </c>
      <c r="J161" s="106">
        <f>'c.4) Unteraufträge'!L29</f>
        <v>0</v>
      </c>
      <c r="K161" s="106">
        <f>'c.4) Unteraufträge'!M29</f>
        <v>0</v>
      </c>
      <c r="L161" s="106">
        <f t="shared" si="85"/>
        <v>0</v>
      </c>
      <c r="M161" s="212">
        <f t="shared" si="82"/>
        <v>0</v>
      </c>
      <c r="N161" s="169"/>
      <c r="O161" s="106">
        <f>'c.4) Unteraufträge'!O29</f>
        <v>0</v>
      </c>
      <c r="P161" s="106">
        <f>'c.4) Unteraufträge'!P29</f>
        <v>0</v>
      </c>
      <c r="Q161" s="48"/>
    </row>
    <row r="162" spans="2:17" ht="14.5" x14ac:dyDescent="0.35">
      <c r="B162" s="45"/>
      <c r="C162" s="547" t="s">
        <v>49</v>
      </c>
      <c r="D162" s="563"/>
      <c r="E162" s="223">
        <f>Eingabe!P30</f>
        <v>0</v>
      </c>
      <c r="F162" s="198">
        <f t="shared" si="83"/>
        <v>0</v>
      </c>
      <c r="G162" s="141"/>
      <c r="H162" s="223">
        <f>'d) Indirekte'!J29</f>
        <v>0</v>
      </c>
      <c r="I162" s="223">
        <f>'d) Indirekte'!K29</f>
        <v>0</v>
      </c>
      <c r="J162" s="223">
        <f>'d) Indirekte'!L29</f>
        <v>0</v>
      </c>
      <c r="K162" s="223">
        <f>'d) Indirekte'!M29</f>
        <v>0</v>
      </c>
      <c r="L162" s="223">
        <f t="shared" si="85"/>
        <v>0</v>
      </c>
      <c r="M162" s="198">
        <f t="shared" si="82"/>
        <v>0</v>
      </c>
      <c r="N162" s="169"/>
      <c r="O162" s="223">
        <f>'d) Indirekte'!O29</f>
        <v>0</v>
      </c>
      <c r="P162" s="223">
        <f>'d) Indirekte'!P29</f>
        <v>0</v>
      </c>
      <c r="Q162" s="48"/>
    </row>
    <row r="163" spans="2:17" ht="15.5" x14ac:dyDescent="0.35">
      <c r="B163" s="45"/>
      <c r="C163" s="560" t="s">
        <v>24</v>
      </c>
      <c r="D163" s="560"/>
      <c r="E163" s="226">
        <f>Eingabe!P31</f>
        <v>0</v>
      </c>
      <c r="F163" s="207">
        <f t="shared" si="83"/>
        <v>0</v>
      </c>
      <c r="G163" s="141"/>
      <c r="H163" s="226">
        <f>H152+H162</f>
        <v>0</v>
      </c>
      <c r="I163" s="226">
        <f t="shared" ref="I163:K163" si="87">I152+I162</f>
        <v>0</v>
      </c>
      <c r="J163" s="226">
        <f t="shared" si="87"/>
        <v>0</v>
      </c>
      <c r="K163" s="226">
        <f t="shared" si="87"/>
        <v>0</v>
      </c>
      <c r="L163" s="226">
        <f t="shared" si="85"/>
        <v>0</v>
      </c>
      <c r="M163" s="207">
        <f t="shared" si="82"/>
        <v>0</v>
      </c>
      <c r="N163" s="169"/>
      <c r="O163" s="226">
        <f>O152+O162</f>
        <v>0</v>
      </c>
      <c r="P163" s="226">
        <f>P152+P162</f>
        <v>0</v>
      </c>
      <c r="Q163" s="48"/>
    </row>
    <row r="164" spans="2:17" x14ac:dyDescent="0.35">
      <c r="B164" s="45"/>
      <c r="C164" s="169"/>
      <c r="D164" s="169"/>
      <c r="E164" s="169"/>
      <c r="F164" s="141"/>
      <c r="G164" s="141"/>
      <c r="H164" s="169"/>
      <c r="I164" s="141"/>
      <c r="J164" s="141"/>
      <c r="K164" s="141"/>
      <c r="L164" s="141"/>
      <c r="M164" s="169"/>
      <c r="N164" s="169"/>
      <c r="O164" s="169"/>
      <c r="P164" s="169"/>
      <c r="Q164" s="48"/>
    </row>
    <row r="165" spans="2:17" ht="29" x14ac:dyDescent="0.35">
      <c r="B165" s="45"/>
      <c r="C165" s="541" t="str">
        <f>Eingabe!Q$18&amp;": "&amp;Eingabe!Q$19</f>
        <v>Maßnahme 10: keine</v>
      </c>
      <c r="D165" s="541"/>
      <c r="E165" s="257" t="s">
        <v>23</v>
      </c>
      <c r="F165" s="190" t="s">
        <v>22</v>
      </c>
      <c r="G165" s="258"/>
      <c r="H165" s="257" t="s">
        <v>109</v>
      </c>
      <c r="I165" s="257" t="s">
        <v>110</v>
      </c>
      <c r="J165" s="257" t="s">
        <v>111</v>
      </c>
      <c r="K165" s="257" t="s">
        <v>112</v>
      </c>
      <c r="L165" s="257" t="s">
        <v>113</v>
      </c>
      <c r="M165" s="190" t="s">
        <v>43</v>
      </c>
      <c r="N165" s="259"/>
      <c r="O165" s="192" t="s">
        <v>19</v>
      </c>
      <c r="P165" s="193" t="s">
        <v>10</v>
      </c>
      <c r="Q165" s="48"/>
    </row>
    <row r="166" spans="2:17" ht="14.5" x14ac:dyDescent="0.35">
      <c r="B166" s="45"/>
      <c r="C166" s="542" t="s">
        <v>27</v>
      </c>
      <c r="D166" s="542"/>
      <c r="E166" s="223">
        <f>Eingabe!Q20</f>
        <v>0</v>
      </c>
      <c r="F166" s="198">
        <f>IF($E$28=0,0,E166/$E$51)</f>
        <v>0</v>
      </c>
      <c r="G166" s="258"/>
      <c r="H166" s="223">
        <f>H167+H170+H171</f>
        <v>0</v>
      </c>
      <c r="I166" s="223">
        <f t="shared" ref="I166" si="88">I167+I170+I171</f>
        <v>0</v>
      </c>
      <c r="J166" s="223">
        <f t="shared" ref="J166" si="89">J167+J170+J171</f>
        <v>0</v>
      </c>
      <c r="K166" s="223">
        <f t="shared" ref="K166" si="90">K167+K170+K171</f>
        <v>0</v>
      </c>
      <c r="L166" s="223">
        <f>SUM(H166:K166)</f>
        <v>0</v>
      </c>
      <c r="M166" s="198">
        <f t="shared" ref="M166:M177" si="91">IF(E166=0,0,L166/E166)</f>
        <v>0</v>
      </c>
      <c r="N166" s="259"/>
      <c r="O166" s="223">
        <f>IF(Eingabe!$Q$45="ja",SUM(O167+O170+O171),Overview!$AA$15)</f>
        <v>0</v>
      </c>
      <c r="P166" s="223">
        <f>IF(Eingabe!$Q$45="ja",L166-O166,Overview!$AA$15)</f>
        <v>0</v>
      </c>
      <c r="Q166" s="48"/>
    </row>
    <row r="167" spans="2:17" x14ac:dyDescent="0.35">
      <c r="B167" s="45"/>
      <c r="C167" s="552" t="s">
        <v>6</v>
      </c>
      <c r="D167" s="552"/>
      <c r="E167" s="203">
        <f>Eingabe!Q21</f>
        <v>0</v>
      </c>
      <c r="F167" s="207">
        <f t="shared" ref="F167:F177" si="92">IF($E$28=0,0,E167/$E$51)</f>
        <v>0</v>
      </c>
      <c r="G167" s="258"/>
      <c r="H167" s="203">
        <f>H168+H169</f>
        <v>0</v>
      </c>
      <c r="I167" s="203">
        <f t="shared" ref="I167:K167" si="93">I168+I169</f>
        <v>0</v>
      </c>
      <c r="J167" s="203">
        <f t="shared" si="93"/>
        <v>0</v>
      </c>
      <c r="K167" s="203">
        <f t="shared" si="93"/>
        <v>0</v>
      </c>
      <c r="L167" s="203">
        <f t="shared" ref="L167:L177" si="94">SUM(H167:K167)</f>
        <v>0</v>
      </c>
      <c r="M167" s="207">
        <f t="shared" si="91"/>
        <v>0</v>
      </c>
      <c r="N167" s="259"/>
      <c r="O167" s="203">
        <f>IF(Eingabe!$Q$45="ja",O168+O169,Overview!$AA$15)</f>
        <v>0</v>
      </c>
      <c r="P167" s="203">
        <f>IF(Eingabe!$Q$45="ja",L167-O167,Overview!$AA$15)</f>
        <v>0</v>
      </c>
      <c r="Q167" s="48"/>
    </row>
    <row r="168" spans="2:17" x14ac:dyDescent="0.35">
      <c r="B168" s="45"/>
      <c r="C168" s="553" t="s">
        <v>26</v>
      </c>
      <c r="D168" s="553"/>
      <c r="E168" s="106">
        <f>Eingabe!Q22</f>
        <v>0</v>
      </c>
      <c r="F168" s="212">
        <f t="shared" si="92"/>
        <v>0</v>
      </c>
      <c r="G168" s="141"/>
      <c r="H168" s="106">
        <f>'a.1) Angestellte'!R30</f>
        <v>0</v>
      </c>
      <c r="I168" s="106">
        <f>'a.1) Angestellte'!S30</f>
        <v>0</v>
      </c>
      <c r="J168" s="106">
        <f>'a.1) Angestellte'!T30</f>
        <v>0</v>
      </c>
      <c r="K168" s="106">
        <f>'a.1) Angestellte'!U30</f>
        <v>0</v>
      </c>
      <c r="L168" s="106">
        <f t="shared" si="94"/>
        <v>0</v>
      </c>
      <c r="M168" s="212">
        <f t="shared" si="91"/>
        <v>0</v>
      </c>
      <c r="N168" s="169"/>
      <c r="O168" s="106">
        <f>'a.1) Angestellte'!W30</f>
        <v>0</v>
      </c>
      <c r="P168" s="106">
        <f>'a.1) Angestellte'!X30</f>
        <v>0</v>
      </c>
      <c r="Q168" s="48"/>
    </row>
    <row r="169" spans="2:17" x14ac:dyDescent="0.35">
      <c r="B169" s="45"/>
      <c r="C169" s="553" t="s">
        <v>103</v>
      </c>
      <c r="D169" s="553"/>
      <c r="E169" s="106">
        <f>Eingabe!Q23</f>
        <v>0</v>
      </c>
      <c r="F169" s="212">
        <f t="shared" si="92"/>
        <v>0</v>
      </c>
      <c r="G169" s="141"/>
      <c r="H169" s="106">
        <f>'a.2) Freie DN'!R30</f>
        <v>0</v>
      </c>
      <c r="I169" s="106">
        <f>'a.2) Freie DN'!S30</f>
        <v>0</v>
      </c>
      <c r="J169" s="106">
        <f>'a.2) Freie DN'!T30</f>
        <v>0</v>
      </c>
      <c r="K169" s="106">
        <f>'a.2) Freie DN'!U30</f>
        <v>0</v>
      </c>
      <c r="L169" s="106">
        <f t="shared" si="94"/>
        <v>0</v>
      </c>
      <c r="M169" s="212">
        <f t="shared" si="91"/>
        <v>0</v>
      </c>
      <c r="N169" s="169"/>
      <c r="O169" s="106">
        <f>'a.2) Freie DN'!W30</f>
        <v>0</v>
      </c>
      <c r="P169" s="106">
        <f>'a.2) Freie DN'!X30</f>
        <v>0</v>
      </c>
      <c r="Q169" s="48"/>
    </row>
    <row r="170" spans="2:17" x14ac:dyDescent="0.35">
      <c r="B170" s="45"/>
      <c r="C170" s="524" t="s">
        <v>15</v>
      </c>
      <c r="D170" s="524"/>
      <c r="E170" s="216">
        <f>Eingabe!Q24</f>
        <v>0</v>
      </c>
      <c r="F170" s="198">
        <f t="shared" si="92"/>
        <v>0</v>
      </c>
      <c r="G170" s="141"/>
      <c r="H170" s="216">
        <f>'b) Reisekosten'!J30</f>
        <v>0</v>
      </c>
      <c r="I170" s="216">
        <f>'b) Reisekosten'!K30</f>
        <v>0</v>
      </c>
      <c r="J170" s="216">
        <f>'b) Reisekosten'!L30</f>
        <v>0</v>
      </c>
      <c r="K170" s="216">
        <f>'b) Reisekosten'!M30</f>
        <v>0</v>
      </c>
      <c r="L170" s="216">
        <f t="shared" si="94"/>
        <v>0</v>
      </c>
      <c r="M170" s="198">
        <f t="shared" si="91"/>
        <v>0</v>
      </c>
      <c r="N170" s="169"/>
      <c r="O170" s="216">
        <f>'b) Reisekosten'!O30</f>
        <v>0</v>
      </c>
      <c r="P170" s="216">
        <f>'b) Reisekosten'!P30</f>
        <v>0</v>
      </c>
      <c r="Q170" s="48"/>
    </row>
    <row r="171" spans="2:17" x14ac:dyDescent="0.35">
      <c r="B171" s="45"/>
      <c r="C171" s="552" t="s">
        <v>16</v>
      </c>
      <c r="D171" s="552"/>
      <c r="E171" s="203">
        <f>Eingabe!Q25</f>
        <v>0</v>
      </c>
      <c r="F171" s="207">
        <f t="shared" si="92"/>
        <v>0</v>
      </c>
      <c r="G171" s="141"/>
      <c r="H171" s="203">
        <f>SUM(H172:H175)</f>
        <v>0</v>
      </c>
      <c r="I171" s="203">
        <f t="shared" ref="I171:K171" si="95">SUM(I172:I175)</f>
        <v>0</v>
      </c>
      <c r="J171" s="203">
        <f t="shared" si="95"/>
        <v>0</v>
      </c>
      <c r="K171" s="203">
        <f t="shared" si="95"/>
        <v>0</v>
      </c>
      <c r="L171" s="203">
        <f t="shared" si="94"/>
        <v>0</v>
      </c>
      <c r="M171" s="207">
        <f t="shared" si="91"/>
        <v>0</v>
      </c>
      <c r="N171" s="169"/>
      <c r="O171" s="203">
        <f>O172+O173+O174+O175</f>
        <v>0</v>
      </c>
      <c r="P171" s="203">
        <f>P172+P173+P174+P175</f>
        <v>0</v>
      </c>
      <c r="Q171" s="48"/>
    </row>
    <row r="172" spans="2:17" ht="14.5" x14ac:dyDescent="0.35">
      <c r="B172" s="45"/>
      <c r="C172" s="561" t="s">
        <v>25</v>
      </c>
      <c r="D172" s="562"/>
      <c r="E172" s="106">
        <f>Eingabe!Q26</f>
        <v>0</v>
      </c>
      <c r="F172" s="212">
        <f t="shared" si="92"/>
        <v>0</v>
      </c>
      <c r="G172" s="141"/>
      <c r="H172" s="106">
        <f>'c.1) Immobilien'!J30</f>
        <v>0</v>
      </c>
      <c r="I172" s="106">
        <f>'c.1) Immobilien'!K30</f>
        <v>0</v>
      </c>
      <c r="J172" s="106">
        <f>'c.1) Immobilien'!L30</f>
        <v>0</v>
      </c>
      <c r="K172" s="106">
        <f>'c.1) Immobilien'!M30</f>
        <v>0</v>
      </c>
      <c r="L172" s="106">
        <f t="shared" si="94"/>
        <v>0</v>
      </c>
      <c r="M172" s="212">
        <f t="shared" si="91"/>
        <v>0</v>
      </c>
      <c r="N172" s="169"/>
      <c r="O172" s="106">
        <f>'c.1) Immobilien'!O30</f>
        <v>0</v>
      </c>
      <c r="P172" s="106">
        <f>'c.1) Immobilien'!P30</f>
        <v>0</v>
      </c>
      <c r="Q172" s="48"/>
    </row>
    <row r="173" spans="2:17" ht="14.5" x14ac:dyDescent="0.35">
      <c r="B173" s="45"/>
      <c r="C173" s="561" t="s">
        <v>106</v>
      </c>
      <c r="D173" s="562"/>
      <c r="E173" s="106">
        <f>Eingabe!Q27</f>
        <v>0</v>
      </c>
      <c r="F173" s="212">
        <f t="shared" si="92"/>
        <v>0</v>
      </c>
      <c r="G173" s="141"/>
      <c r="H173" s="106">
        <f>'c.2) Sonstige'!J30</f>
        <v>0</v>
      </c>
      <c r="I173" s="106">
        <f>'c.2) Sonstige'!K30</f>
        <v>0</v>
      </c>
      <c r="J173" s="106">
        <f>'c.2) Sonstige'!L30</f>
        <v>0</v>
      </c>
      <c r="K173" s="106">
        <f>'c.2) Sonstige'!M30</f>
        <v>0</v>
      </c>
      <c r="L173" s="106">
        <f t="shared" si="94"/>
        <v>0</v>
      </c>
      <c r="M173" s="212">
        <f t="shared" si="91"/>
        <v>0</v>
      </c>
      <c r="N173" s="169"/>
      <c r="O173" s="106">
        <f>'c.2) Sonstige'!O30</f>
        <v>0</v>
      </c>
      <c r="P173" s="106">
        <f>'c.2) Sonstige'!P30</f>
        <v>0</v>
      </c>
      <c r="Q173" s="48"/>
    </row>
    <row r="174" spans="2:17" ht="14.5" x14ac:dyDescent="0.35">
      <c r="B174" s="45"/>
      <c r="C174" s="561" t="s">
        <v>108</v>
      </c>
      <c r="D174" s="562"/>
      <c r="E174" s="106">
        <f>Eingabe!Q28</f>
        <v>0</v>
      </c>
      <c r="F174" s="212">
        <f t="shared" si="92"/>
        <v>0</v>
      </c>
      <c r="G174" s="141"/>
      <c r="H174" s="106">
        <f>'c.3) Anlagegüter'!M30</f>
        <v>0</v>
      </c>
      <c r="I174" s="106">
        <f>'c.3) Anlagegüter'!N30</f>
        <v>0</v>
      </c>
      <c r="J174" s="106">
        <f>'c.3) Anlagegüter'!O30</f>
        <v>0</v>
      </c>
      <c r="K174" s="106">
        <f>'c.3) Anlagegüter'!P30</f>
        <v>0</v>
      </c>
      <c r="L174" s="106">
        <f t="shared" si="94"/>
        <v>0</v>
      </c>
      <c r="M174" s="212">
        <f t="shared" si="91"/>
        <v>0</v>
      </c>
      <c r="N174" s="169"/>
      <c r="O174" s="106">
        <f>'c.3) Anlagegüter'!R30</f>
        <v>0</v>
      </c>
      <c r="P174" s="106">
        <f>'c.3) Anlagegüter'!S30</f>
        <v>0</v>
      </c>
      <c r="Q174" s="48"/>
    </row>
    <row r="175" spans="2:17" x14ac:dyDescent="0.35">
      <c r="B175" s="45"/>
      <c r="C175" s="553" t="s">
        <v>107</v>
      </c>
      <c r="D175" s="553"/>
      <c r="E175" s="106">
        <f>Eingabe!Q29</f>
        <v>0</v>
      </c>
      <c r="F175" s="212">
        <f t="shared" si="92"/>
        <v>0</v>
      </c>
      <c r="G175" s="141"/>
      <c r="H175" s="106">
        <f>'c.4) Unteraufträge'!J30</f>
        <v>0</v>
      </c>
      <c r="I175" s="106">
        <f>'c.4) Unteraufträge'!K30</f>
        <v>0</v>
      </c>
      <c r="J175" s="106">
        <f>'c.4) Unteraufträge'!L30</f>
        <v>0</v>
      </c>
      <c r="K175" s="106">
        <f>'c.4) Unteraufträge'!M30</f>
        <v>0</v>
      </c>
      <c r="L175" s="106">
        <f t="shared" si="94"/>
        <v>0</v>
      </c>
      <c r="M175" s="212">
        <f t="shared" si="91"/>
        <v>0</v>
      </c>
      <c r="N175" s="169"/>
      <c r="O175" s="106">
        <f>'c.4) Unteraufträge'!O30</f>
        <v>0</v>
      </c>
      <c r="P175" s="106">
        <f>'c.4) Unteraufträge'!P30</f>
        <v>0</v>
      </c>
      <c r="Q175" s="48"/>
    </row>
    <row r="176" spans="2:17" ht="14.5" x14ac:dyDescent="0.35">
      <c r="B176" s="45"/>
      <c r="C176" s="547" t="s">
        <v>49</v>
      </c>
      <c r="D176" s="563"/>
      <c r="E176" s="223">
        <f>Eingabe!Q30</f>
        <v>0</v>
      </c>
      <c r="F176" s="198">
        <f t="shared" si="92"/>
        <v>0</v>
      </c>
      <c r="G176" s="141"/>
      <c r="H176" s="223">
        <f>'d) Indirekte'!J30</f>
        <v>0</v>
      </c>
      <c r="I176" s="223">
        <f>'d) Indirekte'!K30</f>
        <v>0</v>
      </c>
      <c r="J176" s="223">
        <f>'d) Indirekte'!L30</f>
        <v>0</v>
      </c>
      <c r="K176" s="223">
        <f>'d) Indirekte'!M30</f>
        <v>0</v>
      </c>
      <c r="L176" s="223">
        <f t="shared" si="94"/>
        <v>0</v>
      </c>
      <c r="M176" s="198">
        <f t="shared" si="91"/>
        <v>0</v>
      </c>
      <c r="N176" s="169"/>
      <c r="O176" s="223">
        <f>'d) Indirekte'!O30</f>
        <v>0</v>
      </c>
      <c r="P176" s="223">
        <f>'d) Indirekte'!P30</f>
        <v>0</v>
      </c>
      <c r="Q176" s="48"/>
    </row>
    <row r="177" spans="2:17" ht="15.5" x14ac:dyDescent="0.35">
      <c r="B177" s="45"/>
      <c r="C177" s="560" t="s">
        <v>24</v>
      </c>
      <c r="D177" s="560"/>
      <c r="E177" s="226">
        <f>Eingabe!Q31</f>
        <v>0</v>
      </c>
      <c r="F177" s="207">
        <f t="shared" si="92"/>
        <v>0</v>
      </c>
      <c r="G177" s="141"/>
      <c r="H177" s="226">
        <f>H166+H176</f>
        <v>0</v>
      </c>
      <c r="I177" s="226">
        <f t="shared" ref="I177:K177" si="96">I166+I176</f>
        <v>0</v>
      </c>
      <c r="J177" s="226">
        <f t="shared" si="96"/>
        <v>0</v>
      </c>
      <c r="K177" s="226">
        <f t="shared" si="96"/>
        <v>0</v>
      </c>
      <c r="L177" s="226">
        <f t="shared" si="94"/>
        <v>0</v>
      </c>
      <c r="M177" s="207">
        <f t="shared" si="91"/>
        <v>0</v>
      </c>
      <c r="N177" s="169"/>
      <c r="O177" s="226">
        <f>O166+O176</f>
        <v>0</v>
      </c>
      <c r="P177" s="226">
        <f>P166+P176</f>
        <v>0</v>
      </c>
      <c r="Q177" s="48"/>
    </row>
    <row r="178" spans="2:17" x14ac:dyDescent="0.35">
      <c r="B178" s="55"/>
      <c r="C178" s="56"/>
      <c r="D178" s="56"/>
      <c r="E178" s="56"/>
      <c r="F178" s="232"/>
      <c r="G178" s="232"/>
      <c r="H178" s="56"/>
      <c r="I178" s="232"/>
      <c r="J178" s="232"/>
      <c r="K178" s="232"/>
      <c r="L178" s="232"/>
      <c r="M178" s="56"/>
      <c r="N178" s="56"/>
      <c r="O178" s="56"/>
      <c r="P178" s="56"/>
      <c r="Q178" s="57"/>
    </row>
    <row r="179" spans="2:17" x14ac:dyDescent="0.35">
      <c r="F179" s="44"/>
      <c r="G179" s="44"/>
      <c r="I179" s="44"/>
      <c r="J179" s="44"/>
      <c r="K179" s="44"/>
      <c r="L179" s="44"/>
    </row>
    <row r="180" spans="2:17" x14ac:dyDescent="0.35">
      <c r="F180" s="44"/>
      <c r="G180" s="44"/>
      <c r="I180" s="44"/>
      <c r="J180" s="44"/>
      <c r="K180" s="44"/>
      <c r="L180" s="44"/>
    </row>
    <row r="181" spans="2:17" x14ac:dyDescent="0.35">
      <c r="F181" s="44"/>
      <c r="G181" s="44"/>
      <c r="I181" s="44"/>
      <c r="J181" s="44"/>
      <c r="K181" s="44"/>
      <c r="L181" s="44"/>
    </row>
    <row r="182" spans="2:17" x14ac:dyDescent="0.35">
      <c r="F182" s="44"/>
      <c r="G182" s="44"/>
      <c r="I182" s="44"/>
      <c r="J182" s="44"/>
      <c r="K182" s="44"/>
      <c r="L182" s="44"/>
    </row>
    <row r="183" spans="2:17" x14ac:dyDescent="0.35">
      <c r="F183" s="44"/>
      <c r="G183" s="44"/>
      <c r="I183" s="44"/>
      <c r="J183" s="44"/>
      <c r="K183" s="44"/>
      <c r="L183" s="44"/>
    </row>
    <row r="184" spans="2:17" x14ac:dyDescent="0.35">
      <c r="F184" s="44"/>
      <c r="G184" s="44"/>
      <c r="I184" s="44"/>
      <c r="J184" s="44"/>
      <c r="K184" s="44"/>
      <c r="L184" s="44"/>
    </row>
    <row r="185" spans="2:17" x14ac:dyDescent="0.35">
      <c r="F185" s="44"/>
      <c r="G185" s="44"/>
      <c r="I185" s="44"/>
      <c r="J185" s="44"/>
      <c r="K185" s="44"/>
      <c r="L185" s="44"/>
    </row>
    <row r="186" spans="2:17" x14ac:dyDescent="0.35">
      <c r="F186" s="44"/>
      <c r="G186" s="44"/>
      <c r="I186" s="44"/>
      <c r="J186" s="44"/>
      <c r="K186" s="44"/>
      <c r="L186" s="44"/>
    </row>
    <row r="187" spans="2:17" x14ac:dyDescent="0.35">
      <c r="F187" s="44"/>
      <c r="G187" s="44"/>
      <c r="I187" s="44"/>
      <c r="J187" s="44"/>
      <c r="K187" s="44"/>
      <c r="L187" s="44"/>
    </row>
    <row r="188" spans="2:17" x14ac:dyDescent="0.35">
      <c r="F188" s="44"/>
      <c r="G188" s="44"/>
      <c r="I188" s="44"/>
      <c r="J188" s="44"/>
      <c r="K188" s="44"/>
      <c r="L188" s="44"/>
    </row>
    <row r="189" spans="2:17" x14ac:dyDescent="0.35">
      <c r="F189" s="44"/>
      <c r="G189" s="44"/>
      <c r="I189" s="44"/>
      <c r="J189" s="44"/>
      <c r="K189" s="44"/>
      <c r="L189" s="44"/>
    </row>
    <row r="190" spans="2:17" x14ac:dyDescent="0.35">
      <c r="F190" s="44"/>
      <c r="G190" s="44"/>
      <c r="I190" s="44"/>
      <c r="J190" s="44"/>
      <c r="K190" s="44"/>
      <c r="L190" s="44"/>
    </row>
    <row r="191" spans="2:17" x14ac:dyDescent="0.35">
      <c r="F191" s="44"/>
      <c r="G191" s="44"/>
      <c r="I191" s="44"/>
      <c r="J191" s="44"/>
      <c r="K191" s="44"/>
      <c r="L191" s="44"/>
    </row>
    <row r="192" spans="2:17" x14ac:dyDescent="0.35">
      <c r="F192" s="44"/>
      <c r="G192" s="44"/>
      <c r="I192" s="44"/>
      <c r="J192" s="44"/>
      <c r="K192" s="44"/>
      <c r="L192" s="44"/>
    </row>
    <row r="193" spans="6:12" x14ac:dyDescent="0.35">
      <c r="F193" s="44"/>
      <c r="G193" s="44"/>
      <c r="I193" s="44"/>
      <c r="J193" s="44"/>
      <c r="K193" s="44"/>
      <c r="L193" s="44"/>
    </row>
    <row r="194" spans="6:12" x14ac:dyDescent="0.35">
      <c r="F194" s="44"/>
      <c r="G194" s="44"/>
      <c r="I194" s="44"/>
      <c r="J194" s="44"/>
      <c r="K194" s="44"/>
      <c r="L194" s="44"/>
    </row>
    <row r="195" spans="6:12" x14ac:dyDescent="0.35">
      <c r="F195" s="44"/>
      <c r="G195" s="44"/>
      <c r="I195" s="44"/>
      <c r="J195" s="44"/>
      <c r="K195" s="44"/>
      <c r="L195" s="44"/>
    </row>
    <row r="196" spans="6:12" x14ac:dyDescent="0.35">
      <c r="F196" s="44"/>
      <c r="G196" s="44"/>
      <c r="I196" s="44"/>
      <c r="J196" s="44"/>
      <c r="K196" s="44"/>
      <c r="L196" s="44"/>
    </row>
    <row r="197" spans="6:12" x14ac:dyDescent="0.35">
      <c r="F197" s="44"/>
      <c r="G197" s="44"/>
      <c r="I197" s="44"/>
      <c r="J197" s="44"/>
      <c r="K197" s="44"/>
      <c r="L197" s="44"/>
    </row>
    <row r="198" spans="6:12" x14ac:dyDescent="0.35">
      <c r="F198" s="44"/>
      <c r="G198" s="44"/>
      <c r="I198" s="44"/>
      <c r="J198" s="44"/>
      <c r="K198" s="44"/>
      <c r="L198" s="44"/>
    </row>
    <row r="199" spans="6:12" x14ac:dyDescent="0.35">
      <c r="F199" s="44"/>
      <c r="G199" s="44"/>
      <c r="I199" s="44"/>
      <c r="J199" s="44"/>
      <c r="K199" s="44"/>
      <c r="L199" s="44"/>
    </row>
    <row r="200" spans="6:12" x14ac:dyDescent="0.35">
      <c r="F200" s="44"/>
      <c r="G200" s="44"/>
      <c r="I200" s="44"/>
      <c r="J200" s="44"/>
      <c r="K200" s="44"/>
      <c r="L200" s="44"/>
    </row>
    <row r="201" spans="6:12" x14ac:dyDescent="0.35">
      <c r="F201" s="44"/>
      <c r="G201" s="44"/>
      <c r="I201" s="44"/>
      <c r="J201" s="44"/>
      <c r="K201" s="44"/>
      <c r="L201" s="44"/>
    </row>
    <row r="202" spans="6:12" x14ac:dyDescent="0.35">
      <c r="F202" s="44"/>
      <c r="G202" s="44"/>
      <c r="I202" s="44"/>
      <c r="J202" s="44"/>
      <c r="K202" s="44"/>
      <c r="L202" s="44"/>
    </row>
    <row r="203" spans="6:12" x14ac:dyDescent="0.35">
      <c r="F203" s="44"/>
      <c r="G203" s="44"/>
      <c r="I203" s="44"/>
      <c r="J203" s="44"/>
      <c r="K203" s="44"/>
      <c r="L203" s="44"/>
    </row>
    <row r="204" spans="6:12" x14ac:dyDescent="0.35">
      <c r="F204" s="44"/>
      <c r="G204" s="44"/>
      <c r="I204" s="44"/>
      <c r="J204" s="44"/>
      <c r="K204" s="44"/>
      <c r="L204" s="44"/>
    </row>
    <row r="205" spans="6:12" x14ac:dyDescent="0.35">
      <c r="F205" s="44"/>
      <c r="G205" s="44"/>
      <c r="I205" s="44"/>
      <c r="J205" s="44"/>
      <c r="K205" s="44"/>
      <c r="L205" s="44"/>
    </row>
    <row r="206" spans="6:12" x14ac:dyDescent="0.35">
      <c r="F206" s="44"/>
      <c r="G206" s="44"/>
      <c r="I206" s="44"/>
      <c r="J206" s="44"/>
      <c r="K206" s="44"/>
      <c r="L206" s="44"/>
    </row>
    <row r="207" spans="6:12" x14ac:dyDescent="0.35">
      <c r="F207" s="44"/>
      <c r="G207" s="44"/>
      <c r="I207" s="44"/>
      <c r="J207" s="44"/>
      <c r="K207" s="44"/>
      <c r="L207" s="44"/>
    </row>
    <row r="208" spans="6:12" x14ac:dyDescent="0.35">
      <c r="F208" s="44"/>
      <c r="G208" s="44"/>
      <c r="I208" s="44"/>
      <c r="J208" s="44"/>
      <c r="K208" s="44"/>
      <c r="L208" s="44"/>
    </row>
    <row r="209" spans="6:12" x14ac:dyDescent="0.35">
      <c r="F209" s="44"/>
      <c r="G209" s="44"/>
      <c r="I209" s="44"/>
      <c r="J209" s="44"/>
      <c r="K209" s="44"/>
      <c r="L209" s="44"/>
    </row>
    <row r="210" spans="6:12" x14ac:dyDescent="0.35">
      <c r="F210" s="44"/>
      <c r="G210" s="44"/>
      <c r="I210" s="44"/>
      <c r="J210" s="44"/>
      <c r="K210" s="44"/>
      <c r="L210" s="44"/>
    </row>
  </sheetData>
  <sheetProtection password="FFFD" sheet="1" objects="1" scenarios="1"/>
  <mergeCells count="179">
    <mergeCell ref="C176:D176"/>
    <mergeCell ref="C177:D177"/>
    <mergeCell ref="C171:D171"/>
    <mergeCell ref="C172:D172"/>
    <mergeCell ref="C173:D173"/>
    <mergeCell ref="C174:D174"/>
    <mergeCell ref="C175:D175"/>
    <mergeCell ref="C166:D166"/>
    <mergeCell ref="C167:D167"/>
    <mergeCell ref="C168:D168"/>
    <mergeCell ref="C169:D169"/>
    <mergeCell ref="C170:D170"/>
    <mergeCell ref="C160:D160"/>
    <mergeCell ref="C161:D161"/>
    <mergeCell ref="C162:D162"/>
    <mergeCell ref="C163:D163"/>
    <mergeCell ref="C165:D165"/>
    <mergeCell ref="C155:D155"/>
    <mergeCell ref="C156:D156"/>
    <mergeCell ref="C157:D157"/>
    <mergeCell ref="C158:D158"/>
    <mergeCell ref="C159:D159"/>
    <mergeCell ref="C149:D149"/>
    <mergeCell ref="C151:D151"/>
    <mergeCell ref="C152:D152"/>
    <mergeCell ref="C153:D153"/>
    <mergeCell ref="C154:D154"/>
    <mergeCell ref="C144:D144"/>
    <mergeCell ref="C145:D145"/>
    <mergeCell ref="C146:D146"/>
    <mergeCell ref="C147:D147"/>
    <mergeCell ref="C148:D148"/>
    <mergeCell ref="C139:D139"/>
    <mergeCell ref="C140:D140"/>
    <mergeCell ref="C141:D141"/>
    <mergeCell ref="C142:D142"/>
    <mergeCell ref="C143:D143"/>
    <mergeCell ref="C133:D133"/>
    <mergeCell ref="C134:D134"/>
    <mergeCell ref="C135:D135"/>
    <mergeCell ref="C137:D137"/>
    <mergeCell ref="C138:D138"/>
    <mergeCell ref="C128:D128"/>
    <mergeCell ref="C129:D129"/>
    <mergeCell ref="C130:D130"/>
    <mergeCell ref="C131:D131"/>
    <mergeCell ref="C132:D132"/>
    <mergeCell ref="C123:D123"/>
    <mergeCell ref="C124:D124"/>
    <mergeCell ref="C125:D125"/>
    <mergeCell ref="C126:D126"/>
    <mergeCell ref="C127:D127"/>
    <mergeCell ref="C117:D117"/>
    <mergeCell ref="C118:D118"/>
    <mergeCell ref="C119:D119"/>
    <mergeCell ref="C120:D120"/>
    <mergeCell ref="C121:D121"/>
    <mergeCell ref="C112:D112"/>
    <mergeCell ref="C113:D113"/>
    <mergeCell ref="C114:D114"/>
    <mergeCell ref="C115:D115"/>
    <mergeCell ref="C116:D116"/>
    <mergeCell ref="C106:D106"/>
    <mergeCell ref="C107:D107"/>
    <mergeCell ref="C109:D109"/>
    <mergeCell ref="C110:D110"/>
    <mergeCell ref="C111:D111"/>
    <mergeCell ref="C101:D101"/>
    <mergeCell ref="C102:D102"/>
    <mergeCell ref="C103:D103"/>
    <mergeCell ref="C104:D104"/>
    <mergeCell ref="C105:D105"/>
    <mergeCell ref="C96:D96"/>
    <mergeCell ref="C97:D97"/>
    <mergeCell ref="C98:D98"/>
    <mergeCell ref="C99:D99"/>
    <mergeCell ref="C100:D100"/>
    <mergeCell ref="C90:D90"/>
    <mergeCell ref="C91:D91"/>
    <mergeCell ref="C92:D92"/>
    <mergeCell ref="C93:D93"/>
    <mergeCell ref="C95:D95"/>
    <mergeCell ref="C85:D85"/>
    <mergeCell ref="C86:D86"/>
    <mergeCell ref="C87:D87"/>
    <mergeCell ref="C88:D88"/>
    <mergeCell ref="C89:D89"/>
    <mergeCell ref="C79:D79"/>
    <mergeCell ref="C81:D81"/>
    <mergeCell ref="C82:D82"/>
    <mergeCell ref="C83:D83"/>
    <mergeCell ref="C84:D84"/>
    <mergeCell ref="C74:D74"/>
    <mergeCell ref="C75:D75"/>
    <mergeCell ref="C76:D76"/>
    <mergeCell ref="C77:D77"/>
    <mergeCell ref="C78:D78"/>
    <mergeCell ref="C69:D69"/>
    <mergeCell ref="C70:D70"/>
    <mergeCell ref="C71:D71"/>
    <mergeCell ref="C72:D72"/>
    <mergeCell ref="C73:D73"/>
    <mergeCell ref="C63:D63"/>
    <mergeCell ref="C64:D64"/>
    <mergeCell ref="C65:D65"/>
    <mergeCell ref="C67:D67"/>
    <mergeCell ref="C68:D68"/>
    <mergeCell ref="C58:D58"/>
    <mergeCell ref="C59:D59"/>
    <mergeCell ref="C60:D60"/>
    <mergeCell ref="C61:D61"/>
    <mergeCell ref="C62:D62"/>
    <mergeCell ref="C53:D53"/>
    <mergeCell ref="C54:D54"/>
    <mergeCell ref="C55:D55"/>
    <mergeCell ref="C56:D56"/>
    <mergeCell ref="C57:D57"/>
    <mergeCell ref="C44:D44"/>
    <mergeCell ref="C45:D45"/>
    <mergeCell ref="C49:D49"/>
    <mergeCell ref="C51:D51"/>
    <mergeCell ref="C46:D46"/>
    <mergeCell ref="C48:D48"/>
    <mergeCell ref="C50:D50"/>
    <mergeCell ref="C47:D47"/>
    <mergeCell ref="C41:D41"/>
    <mergeCell ref="C42:D42"/>
    <mergeCell ref="C43:D43"/>
    <mergeCell ref="T9:V9"/>
    <mergeCell ref="C21:D21"/>
    <mergeCell ref="R9:S9"/>
    <mergeCell ref="R11:S11"/>
    <mergeCell ref="R10:S10"/>
    <mergeCell ref="T11:V11"/>
    <mergeCell ref="T10:V10"/>
    <mergeCell ref="H10:I10"/>
    <mergeCell ref="D10:G10"/>
    <mergeCell ref="D11:G11"/>
    <mergeCell ref="O15:P15"/>
    <mergeCell ref="K31:L31"/>
    <mergeCell ref="K32:L32"/>
    <mergeCell ref="C26:D26"/>
    <mergeCell ref="C19:D19"/>
    <mergeCell ref="C35:D35"/>
    <mergeCell ref="C30:D30"/>
    <mergeCell ref="C31:D31"/>
    <mergeCell ref="C32:D32"/>
    <mergeCell ref="C13:I13"/>
    <mergeCell ref="H11:I11"/>
    <mergeCell ref="C16:D16"/>
    <mergeCell ref="D6:M6"/>
    <mergeCell ref="C5:M5"/>
    <mergeCell ref="C39:D39"/>
    <mergeCell ref="C40:D40"/>
    <mergeCell ref="C20:D20"/>
    <mergeCell ref="C28:D28"/>
    <mergeCell ref="C22:D22"/>
    <mergeCell ref="C33:D33"/>
    <mergeCell ref="C34:D34"/>
    <mergeCell ref="C17:D17"/>
    <mergeCell ref="C18:D18"/>
    <mergeCell ref="J13:M13"/>
    <mergeCell ref="J12:M12"/>
    <mergeCell ref="J11:M11"/>
    <mergeCell ref="J10:M10"/>
    <mergeCell ref="D9:M9"/>
    <mergeCell ref="D8:M8"/>
    <mergeCell ref="D7:M7"/>
    <mergeCell ref="C3:I3"/>
    <mergeCell ref="D12:G12"/>
    <mergeCell ref="H12:I12"/>
    <mergeCell ref="R15:V15"/>
    <mergeCell ref="R3:V3"/>
    <mergeCell ref="R6:S6"/>
    <mergeCell ref="R8:S8"/>
    <mergeCell ref="R5:V5"/>
    <mergeCell ref="T6:V6"/>
    <mergeCell ref="T8:V8"/>
    <mergeCell ref="R7:V7"/>
  </mergeCells>
  <dataValidations disablePrompts="1" count="1">
    <dataValidation type="list" allowBlank="1" showInputMessage="1" showErrorMessage="1" promptTitle="Dropdown-Menü" prompt="Bitte aus dem Dropdown-Menü auswählen!" sqref="D65508:L65509">
      <formula1>#REF!</formula1>
    </dataValidation>
  </dataValidations>
  <pageMargins left="0.70866141732283472" right="0.70866141732283472" top="0.78740157480314965" bottom="0.78740157480314965" header="0.31496062992125984" footer="0.31496062992125984"/>
  <pageSetup paperSize="9" scale="45" fitToHeight="2" orientation="landscape" r:id="rId1"/>
  <ignoredErrors>
    <ignoredError sqref="T26"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2:L47"/>
  <sheetViews>
    <sheetView showGridLines="0" zoomScaleNormal="100" workbookViewId="0">
      <selection activeCell="C17" sqref="C17:D17"/>
    </sheetView>
  </sheetViews>
  <sheetFormatPr baseColWidth="10" defaultColWidth="11.453125" defaultRowHeight="13" x14ac:dyDescent="0.35"/>
  <cols>
    <col min="1" max="1" width="3.54296875" style="7" customWidth="1"/>
    <col min="2" max="2" width="2.54296875" style="7" customWidth="1"/>
    <col min="3" max="3" width="34.54296875" style="7" customWidth="1"/>
    <col min="4" max="4" width="45.453125" style="7" bestFit="1" customWidth="1"/>
    <col min="5" max="5" width="25.54296875" style="7" customWidth="1"/>
    <col min="6" max="6" width="35.08984375" style="7" customWidth="1"/>
    <col min="7" max="7" width="2.54296875" style="7" customWidth="1"/>
    <col min="8" max="8" width="11.453125" style="7" customWidth="1"/>
    <col min="9" max="9" width="45.54296875" style="7" customWidth="1"/>
    <col min="10" max="10" width="10.54296875" style="7" customWidth="1"/>
    <col min="11" max="11" width="45.54296875" style="7" customWidth="1"/>
    <col min="12" max="12" width="2.54296875" style="7" customWidth="1"/>
    <col min="13" max="16384" width="11.453125" style="7"/>
  </cols>
  <sheetData>
    <row r="2" spans="2:12" ht="18.75" customHeight="1" x14ac:dyDescent="0.35">
      <c r="B2" s="4"/>
      <c r="C2" s="5"/>
      <c r="D2" s="5"/>
      <c r="E2" s="5"/>
      <c r="F2" s="5"/>
      <c r="G2" s="5"/>
      <c r="H2" s="5"/>
      <c r="I2" s="5"/>
      <c r="J2" s="5"/>
      <c r="K2" s="5"/>
      <c r="L2" s="6"/>
    </row>
    <row r="3" spans="2:12" ht="20.25" customHeight="1" x14ac:dyDescent="0.35">
      <c r="B3" s="8"/>
      <c r="C3" s="566" t="s">
        <v>5</v>
      </c>
      <c r="D3" s="566"/>
      <c r="E3" s="566"/>
      <c r="F3" s="566"/>
      <c r="G3" s="9"/>
      <c r="H3" s="566" t="s">
        <v>58</v>
      </c>
      <c r="I3" s="566"/>
      <c r="J3" s="566"/>
      <c r="K3" s="566"/>
      <c r="L3" s="10"/>
    </row>
    <row r="4" spans="2:12" x14ac:dyDescent="0.35">
      <c r="B4" s="8"/>
      <c r="C4" s="9"/>
      <c r="D4" s="9"/>
      <c r="E4" s="9"/>
      <c r="F4" s="9"/>
      <c r="G4" s="9"/>
      <c r="H4" s="9"/>
      <c r="I4" s="9"/>
      <c r="J4" s="9"/>
      <c r="K4" s="9"/>
      <c r="L4" s="10"/>
    </row>
    <row r="5" spans="2:12" s="21" customFormat="1" ht="14.5" x14ac:dyDescent="0.35">
      <c r="B5" s="15"/>
      <c r="C5" s="569" t="s">
        <v>79</v>
      </c>
      <c r="D5" s="570"/>
      <c r="E5" s="16" t="s">
        <v>41</v>
      </c>
      <c r="F5" s="17" t="s">
        <v>44</v>
      </c>
      <c r="G5" s="18"/>
      <c r="H5" s="173"/>
      <c r="I5" s="174"/>
      <c r="J5" s="173"/>
      <c r="K5" s="175"/>
      <c r="L5" s="20"/>
    </row>
    <row r="6" spans="2:12" ht="14.5" x14ac:dyDescent="0.35">
      <c r="B6" s="8"/>
      <c r="C6" s="573" t="s">
        <v>66</v>
      </c>
      <c r="D6" s="574"/>
      <c r="E6" s="1"/>
      <c r="F6" s="575" t="s">
        <v>204</v>
      </c>
      <c r="G6" s="9"/>
      <c r="H6" s="176"/>
      <c r="I6" s="177"/>
      <c r="J6" s="176"/>
      <c r="K6" s="178"/>
      <c r="L6" s="10"/>
    </row>
    <row r="7" spans="2:12" ht="14.5" x14ac:dyDescent="0.35">
      <c r="B7" s="8"/>
      <c r="C7" s="573" t="s">
        <v>137</v>
      </c>
      <c r="D7" s="574"/>
      <c r="E7" s="1"/>
      <c r="F7" s="576"/>
      <c r="G7" s="9"/>
      <c r="H7" s="176"/>
      <c r="I7" s="177"/>
      <c r="J7" s="176"/>
      <c r="K7" s="178"/>
      <c r="L7" s="10"/>
    </row>
    <row r="8" spans="2:12" x14ac:dyDescent="0.35">
      <c r="B8" s="8"/>
      <c r="C8" s="22"/>
      <c r="D8" s="22"/>
      <c r="E8" s="22"/>
      <c r="F8" s="23"/>
      <c r="G8" s="9"/>
      <c r="H8" s="9"/>
      <c r="I8" s="9"/>
      <c r="J8" s="9"/>
      <c r="K8" s="9"/>
      <c r="L8" s="10"/>
    </row>
    <row r="9" spans="2:12" ht="15.5" x14ac:dyDescent="0.35">
      <c r="B9" s="8"/>
      <c r="C9" s="9"/>
      <c r="D9" s="24" t="s">
        <v>67</v>
      </c>
      <c r="E9" s="172">
        <f>SUM(E6:E7)</f>
        <v>0</v>
      </c>
      <c r="F9" s="171"/>
      <c r="G9" s="9"/>
      <c r="H9" s="9"/>
      <c r="I9" s="9"/>
      <c r="J9" s="9"/>
      <c r="K9" s="9"/>
      <c r="L9" s="10"/>
    </row>
    <row r="10" spans="2:12" x14ac:dyDescent="0.35">
      <c r="B10" s="8"/>
      <c r="C10" s="22"/>
      <c r="D10" s="22"/>
      <c r="E10" s="22"/>
      <c r="F10" s="23"/>
      <c r="G10" s="9"/>
      <c r="H10" s="9"/>
      <c r="I10" s="9"/>
      <c r="J10" s="9"/>
      <c r="K10" s="9"/>
      <c r="L10" s="10"/>
    </row>
    <row r="11" spans="2:12" s="21" customFormat="1" ht="38.25" customHeight="1" x14ac:dyDescent="0.35">
      <c r="B11" s="15"/>
      <c r="C11" s="571" t="s">
        <v>99</v>
      </c>
      <c r="D11" s="572"/>
      <c r="E11" s="16" t="s">
        <v>166</v>
      </c>
      <c r="F11" s="17" t="s">
        <v>45</v>
      </c>
      <c r="G11" s="19"/>
      <c r="H11" s="19"/>
      <c r="I11" s="19"/>
      <c r="J11" s="19"/>
      <c r="K11" s="19"/>
      <c r="L11" s="20"/>
    </row>
    <row r="12" spans="2:12" ht="26" x14ac:dyDescent="0.35">
      <c r="B12" s="8"/>
      <c r="C12" s="573" t="s">
        <v>46</v>
      </c>
      <c r="D12" s="574"/>
      <c r="E12" s="1"/>
      <c r="F12" s="170" t="s">
        <v>204</v>
      </c>
      <c r="G12" s="9"/>
      <c r="H12" s="9"/>
      <c r="I12" s="9"/>
      <c r="J12" s="9"/>
      <c r="K12" s="9"/>
      <c r="L12" s="10"/>
    </row>
    <row r="13" spans="2:12" x14ac:dyDescent="0.35">
      <c r="B13" s="8"/>
      <c r="C13" s="22"/>
      <c r="D13" s="22"/>
      <c r="E13" s="22"/>
      <c r="F13" s="23"/>
      <c r="G13" s="9"/>
      <c r="H13" s="9"/>
      <c r="I13" s="9"/>
      <c r="J13" s="9"/>
      <c r="K13" s="9"/>
      <c r="L13" s="10"/>
    </row>
    <row r="14" spans="2:12" ht="15.5" x14ac:dyDescent="0.35">
      <c r="B14" s="8"/>
      <c r="C14" s="9"/>
      <c r="D14" s="24" t="s">
        <v>35</v>
      </c>
      <c r="E14" s="25">
        <f>SUM(E12:E12)</f>
        <v>0</v>
      </c>
      <c r="F14" s="171"/>
      <c r="G14" s="9"/>
      <c r="H14" s="9"/>
      <c r="I14" s="9"/>
      <c r="J14" s="9"/>
      <c r="K14" s="9"/>
      <c r="L14" s="10"/>
    </row>
    <row r="15" spans="2:12" x14ac:dyDescent="0.35">
      <c r="B15" s="8"/>
      <c r="C15" s="22"/>
      <c r="D15" s="22"/>
      <c r="E15" s="22"/>
      <c r="F15" s="23"/>
      <c r="G15" s="9"/>
      <c r="H15" s="9"/>
      <c r="I15" s="9"/>
      <c r="J15" s="9"/>
      <c r="K15" s="9"/>
      <c r="L15" s="10"/>
    </row>
    <row r="16" spans="2:12" s="21" customFormat="1" ht="52" x14ac:dyDescent="0.35">
      <c r="B16" s="15"/>
      <c r="C16" s="567" t="s">
        <v>34</v>
      </c>
      <c r="D16" s="568"/>
      <c r="E16" s="26" t="s">
        <v>72</v>
      </c>
      <c r="F16" s="11" t="s">
        <v>70</v>
      </c>
      <c r="G16" s="19"/>
      <c r="H16" s="27" t="s">
        <v>56</v>
      </c>
      <c r="I16" s="28" t="s">
        <v>55</v>
      </c>
      <c r="J16" s="27" t="s">
        <v>57</v>
      </c>
      <c r="K16" s="58" t="s">
        <v>89</v>
      </c>
      <c r="L16" s="20"/>
    </row>
    <row r="17" spans="2:12" ht="14.5" x14ac:dyDescent="0.35">
      <c r="B17" s="8"/>
      <c r="C17" s="564"/>
      <c r="D17" s="565"/>
      <c r="E17" s="29"/>
      <c r="F17" s="1"/>
      <c r="G17" s="9"/>
      <c r="H17" s="30"/>
      <c r="I17" s="31"/>
      <c r="J17" s="30"/>
      <c r="K17" s="32"/>
      <c r="L17" s="10"/>
    </row>
    <row r="18" spans="2:12" ht="14.5" x14ac:dyDescent="0.35">
      <c r="B18" s="8"/>
      <c r="C18" s="564"/>
      <c r="D18" s="565"/>
      <c r="E18" s="29"/>
      <c r="F18" s="1"/>
      <c r="G18" s="9"/>
      <c r="H18" s="30"/>
      <c r="I18" s="33"/>
      <c r="J18" s="34"/>
      <c r="K18" s="35"/>
      <c r="L18" s="10"/>
    </row>
    <row r="19" spans="2:12" ht="14.5" x14ac:dyDescent="0.35">
      <c r="B19" s="8"/>
      <c r="C19" s="564"/>
      <c r="D19" s="565"/>
      <c r="E19" s="29"/>
      <c r="F19" s="1"/>
      <c r="G19" s="9"/>
      <c r="H19" s="30"/>
      <c r="I19" s="33"/>
      <c r="J19" s="34"/>
      <c r="K19" s="35"/>
      <c r="L19" s="10"/>
    </row>
    <row r="20" spans="2:12" ht="14.5" x14ac:dyDescent="0.35">
      <c r="B20" s="8"/>
      <c r="C20" s="564"/>
      <c r="D20" s="565"/>
      <c r="E20" s="29"/>
      <c r="F20" s="1"/>
      <c r="G20" s="9"/>
      <c r="H20" s="30"/>
      <c r="I20" s="33"/>
      <c r="J20" s="34"/>
      <c r="K20" s="35"/>
      <c r="L20" s="10"/>
    </row>
    <row r="21" spans="2:12" ht="14.5" x14ac:dyDescent="0.35">
      <c r="B21" s="8"/>
      <c r="C21" s="564"/>
      <c r="D21" s="565"/>
      <c r="E21" s="29"/>
      <c r="F21" s="1"/>
      <c r="G21" s="9"/>
      <c r="H21" s="30"/>
      <c r="I21" s="33"/>
      <c r="J21" s="34"/>
      <c r="K21" s="35"/>
      <c r="L21" s="10"/>
    </row>
    <row r="22" spans="2:12" ht="14.5" x14ac:dyDescent="0.35">
      <c r="B22" s="8"/>
      <c r="C22" s="564"/>
      <c r="D22" s="565"/>
      <c r="E22" s="29"/>
      <c r="F22" s="1"/>
      <c r="G22" s="9"/>
      <c r="H22" s="30"/>
      <c r="I22" s="33"/>
      <c r="J22" s="34"/>
      <c r="K22" s="35"/>
      <c r="L22" s="10"/>
    </row>
    <row r="23" spans="2:12" ht="14.5" x14ac:dyDescent="0.35">
      <c r="B23" s="8"/>
      <c r="C23" s="564"/>
      <c r="D23" s="565"/>
      <c r="E23" s="29"/>
      <c r="F23" s="1"/>
      <c r="G23" s="9"/>
      <c r="H23" s="30"/>
      <c r="I23" s="33"/>
      <c r="J23" s="34"/>
      <c r="K23" s="35"/>
      <c r="L23" s="10"/>
    </row>
    <row r="24" spans="2:12" ht="14.5" x14ac:dyDescent="0.35">
      <c r="B24" s="8"/>
      <c r="C24" s="564"/>
      <c r="D24" s="565"/>
      <c r="E24" s="29"/>
      <c r="F24" s="1"/>
      <c r="G24" s="9"/>
      <c r="H24" s="30"/>
      <c r="I24" s="33"/>
      <c r="J24" s="34"/>
      <c r="K24" s="35"/>
      <c r="L24" s="10"/>
    </row>
    <row r="25" spans="2:12" ht="14.5" x14ac:dyDescent="0.35">
      <c r="B25" s="8"/>
      <c r="C25" s="564"/>
      <c r="D25" s="565"/>
      <c r="E25" s="29"/>
      <c r="F25" s="1"/>
      <c r="G25" s="9"/>
      <c r="H25" s="30"/>
      <c r="I25" s="33"/>
      <c r="J25" s="34"/>
      <c r="K25" s="35"/>
      <c r="L25" s="10"/>
    </row>
    <row r="26" spans="2:12" ht="14.5" x14ac:dyDescent="0.35">
      <c r="B26" s="8"/>
      <c r="C26" s="70"/>
      <c r="D26" s="71"/>
      <c r="E26" s="29"/>
      <c r="F26" s="1"/>
      <c r="G26" s="9"/>
      <c r="H26" s="30"/>
      <c r="I26" s="33"/>
      <c r="J26" s="34"/>
      <c r="K26" s="35"/>
      <c r="L26" s="10"/>
    </row>
    <row r="27" spans="2:12" ht="14.5" x14ac:dyDescent="0.35">
      <c r="B27" s="8"/>
      <c r="C27" s="564" t="s">
        <v>207</v>
      </c>
      <c r="D27" s="565"/>
      <c r="E27" s="29"/>
      <c r="F27" s="1"/>
      <c r="G27" s="9"/>
      <c r="H27" s="30"/>
      <c r="I27" s="33"/>
      <c r="J27" s="34"/>
      <c r="K27" s="35"/>
      <c r="L27" s="10"/>
    </row>
    <row r="28" spans="2:12" x14ac:dyDescent="0.35">
      <c r="B28" s="8"/>
      <c r="C28" s="22"/>
      <c r="D28" s="22"/>
      <c r="E28" s="22"/>
      <c r="F28" s="23"/>
      <c r="G28" s="9"/>
      <c r="H28" s="9"/>
      <c r="I28" s="9"/>
      <c r="J28" s="9"/>
      <c r="K28" s="9"/>
      <c r="L28" s="10"/>
    </row>
    <row r="29" spans="2:12" ht="15.5" x14ac:dyDescent="0.35">
      <c r="B29" s="8"/>
      <c r="C29" s="9"/>
      <c r="D29" s="36" t="s">
        <v>33</v>
      </c>
      <c r="E29" s="25">
        <f>SUM(E17:E27)</f>
        <v>0</v>
      </c>
      <c r="F29" s="25">
        <f>SUM(F17:F27)</f>
        <v>0</v>
      </c>
      <c r="G29" s="9"/>
      <c r="H29" s="9"/>
      <c r="I29" s="9"/>
      <c r="J29" s="9"/>
      <c r="K29" s="9"/>
      <c r="L29" s="10"/>
    </row>
    <row r="30" spans="2:12" x14ac:dyDescent="0.35">
      <c r="B30" s="8"/>
      <c r="C30" s="22"/>
      <c r="D30" s="22"/>
      <c r="E30" s="22"/>
      <c r="F30" s="23"/>
      <c r="G30" s="9"/>
      <c r="H30" s="9"/>
      <c r="I30" s="9"/>
      <c r="J30" s="9"/>
      <c r="K30" s="9"/>
      <c r="L30" s="10"/>
    </row>
    <row r="31" spans="2:12" s="21" customFormat="1" ht="52" x14ac:dyDescent="0.35">
      <c r="B31" s="15"/>
      <c r="C31" s="567" t="s">
        <v>17</v>
      </c>
      <c r="D31" s="568"/>
      <c r="E31" s="26" t="s">
        <v>72</v>
      </c>
      <c r="F31" s="11" t="s">
        <v>71</v>
      </c>
      <c r="G31" s="20"/>
      <c r="H31" s="27" t="s">
        <v>56</v>
      </c>
      <c r="I31" s="28" t="s">
        <v>55</v>
      </c>
      <c r="J31" s="27" t="s">
        <v>57</v>
      </c>
      <c r="K31" s="58" t="s">
        <v>88</v>
      </c>
      <c r="L31" s="20"/>
    </row>
    <row r="32" spans="2:12" ht="14.5" x14ac:dyDescent="0.35">
      <c r="B32" s="8"/>
      <c r="C32" s="564"/>
      <c r="D32" s="565"/>
      <c r="E32" s="2"/>
      <c r="F32" s="1"/>
      <c r="G32" s="10"/>
      <c r="H32" s="30"/>
      <c r="I32" s="31"/>
      <c r="J32" s="30"/>
      <c r="K32" s="32"/>
      <c r="L32" s="10"/>
    </row>
    <row r="33" spans="2:12" ht="14.5" x14ac:dyDescent="0.35">
      <c r="B33" s="8"/>
      <c r="C33" s="564"/>
      <c r="D33" s="565"/>
      <c r="E33" s="2"/>
      <c r="F33" s="1"/>
      <c r="G33" s="10"/>
      <c r="H33" s="30"/>
      <c r="I33" s="33"/>
      <c r="J33" s="34"/>
      <c r="K33" s="35"/>
      <c r="L33" s="10"/>
    </row>
    <row r="34" spans="2:12" ht="14.5" x14ac:dyDescent="0.35">
      <c r="B34" s="8"/>
      <c r="C34" s="564"/>
      <c r="D34" s="565"/>
      <c r="E34" s="2"/>
      <c r="F34" s="1"/>
      <c r="G34" s="10"/>
      <c r="H34" s="30"/>
      <c r="I34" s="33"/>
      <c r="J34" s="34"/>
      <c r="K34" s="35"/>
      <c r="L34" s="10"/>
    </row>
    <row r="35" spans="2:12" ht="14.5" x14ac:dyDescent="0.35">
      <c r="B35" s="8"/>
      <c r="C35" s="564"/>
      <c r="D35" s="565"/>
      <c r="E35" s="2"/>
      <c r="F35" s="1"/>
      <c r="G35" s="10"/>
      <c r="H35" s="30"/>
      <c r="I35" s="33"/>
      <c r="J35" s="34"/>
      <c r="K35" s="35"/>
      <c r="L35" s="10"/>
    </row>
    <row r="36" spans="2:12" ht="14.5" x14ac:dyDescent="0.35">
      <c r="B36" s="8"/>
      <c r="C36" s="564"/>
      <c r="D36" s="565"/>
      <c r="E36" s="2"/>
      <c r="F36" s="1"/>
      <c r="G36" s="10"/>
      <c r="H36" s="30"/>
      <c r="I36" s="33"/>
      <c r="J36" s="34"/>
      <c r="K36" s="35"/>
      <c r="L36" s="10"/>
    </row>
    <row r="37" spans="2:12" ht="14.5" x14ac:dyDescent="0.35">
      <c r="B37" s="8"/>
      <c r="C37" s="564"/>
      <c r="D37" s="565"/>
      <c r="E37" s="2"/>
      <c r="F37" s="1"/>
      <c r="G37" s="10"/>
      <c r="H37" s="30"/>
      <c r="I37" s="33"/>
      <c r="J37" s="34"/>
      <c r="K37" s="35"/>
      <c r="L37" s="10"/>
    </row>
    <row r="38" spans="2:12" ht="14.5" x14ac:dyDescent="0.35">
      <c r="B38" s="8"/>
      <c r="C38" s="564"/>
      <c r="D38" s="565"/>
      <c r="E38" s="2"/>
      <c r="F38" s="1"/>
      <c r="G38" s="10"/>
      <c r="H38" s="30"/>
      <c r="I38" s="33"/>
      <c r="J38" s="34"/>
      <c r="K38" s="35"/>
      <c r="L38" s="10"/>
    </row>
    <row r="39" spans="2:12" ht="14.5" x14ac:dyDescent="0.35">
      <c r="B39" s="8"/>
      <c r="C39" s="564"/>
      <c r="D39" s="565"/>
      <c r="E39" s="2"/>
      <c r="F39" s="1"/>
      <c r="G39" s="10"/>
      <c r="H39" s="30"/>
      <c r="I39" s="33"/>
      <c r="J39" s="34"/>
      <c r="K39" s="35"/>
      <c r="L39" s="10"/>
    </row>
    <row r="40" spans="2:12" ht="14.5" x14ac:dyDescent="0.35">
      <c r="B40" s="8"/>
      <c r="C40" s="564"/>
      <c r="D40" s="565"/>
      <c r="E40" s="2"/>
      <c r="F40" s="1"/>
      <c r="G40" s="10"/>
      <c r="H40" s="30"/>
      <c r="I40" s="33"/>
      <c r="J40" s="34"/>
      <c r="K40" s="35"/>
      <c r="L40" s="10"/>
    </row>
    <row r="41" spans="2:12" ht="14.5" x14ac:dyDescent="0.35">
      <c r="B41" s="8"/>
      <c r="C41" s="70"/>
      <c r="D41" s="71"/>
      <c r="E41" s="2"/>
      <c r="F41" s="1"/>
      <c r="G41" s="10"/>
      <c r="H41" s="30"/>
      <c r="I41" s="33"/>
      <c r="J41" s="34"/>
      <c r="K41" s="35"/>
      <c r="L41" s="10"/>
    </row>
    <row r="42" spans="2:12" ht="14.5" x14ac:dyDescent="0.35">
      <c r="B42" s="8"/>
      <c r="C42" s="564" t="s">
        <v>207</v>
      </c>
      <c r="D42" s="565"/>
      <c r="E42" s="2"/>
      <c r="F42" s="1"/>
      <c r="G42" s="10"/>
      <c r="H42" s="30"/>
      <c r="I42" s="33"/>
      <c r="J42" s="34"/>
      <c r="K42" s="35"/>
      <c r="L42" s="10"/>
    </row>
    <row r="43" spans="2:12" ht="14.5" x14ac:dyDescent="0.35">
      <c r="B43" s="8"/>
      <c r="C43" s="37"/>
      <c r="D43" s="37"/>
      <c r="E43" s="37"/>
      <c r="F43" s="3"/>
      <c r="G43" s="9"/>
      <c r="H43" s="9"/>
      <c r="I43" s="9"/>
      <c r="J43" s="9"/>
      <c r="K43" s="9"/>
      <c r="L43" s="10"/>
    </row>
    <row r="44" spans="2:12" ht="15.5" x14ac:dyDescent="0.35">
      <c r="B44" s="8"/>
      <c r="C44" s="10"/>
      <c r="D44" s="36" t="s">
        <v>32</v>
      </c>
      <c r="E44" s="25">
        <f>SUM(E32:E42)</f>
        <v>0</v>
      </c>
      <c r="F44" s="25">
        <f>SUM(F32:F42)</f>
        <v>0</v>
      </c>
      <c r="G44" s="9"/>
      <c r="H44" s="9"/>
      <c r="I44" s="9"/>
      <c r="J44" s="9"/>
      <c r="K44" s="9"/>
      <c r="L44" s="10"/>
    </row>
    <row r="45" spans="2:12" ht="14.5" x14ac:dyDescent="0.35">
      <c r="B45" s="8"/>
      <c r="C45" s="22"/>
      <c r="D45" s="37"/>
      <c r="E45" s="37"/>
      <c r="F45" s="3"/>
      <c r="G45" s="9"/>
      <c r="H45" s="9"/>
      <c r="I45" s="9"/>
      <c r="J45" s="9"/>
      <c r="K45" s="9"/>
      <c r="L45" s="10"/>
    </row>
    <row r="46" spans="2:12" ht="18.5" x14ac:dyDescent="0.35">
      <c r="B46" s="8"/>
      <c r="C46" s="9"/>
      <c r="D46" s="38" t="s">
        <v>31</v>
      </c>
      <c r="E46" s="39">
        <f>SUM(E44,E29,E14,E9)</f>
        <v>0</v>
      </c>
      <c r="F46" s="39">
        <f>F44+F29</f>
        <v>0</v>
      </c>
      <c r="G46" s="9"/>
      <c r="H46" s="9"/>
      <c r="I46" s="9"/>
      <c r="J46" s="9"/>
      <c r="K46" s="9"/>
      <c r="L46" s="10"/>
    </row>
    <row r="47" spans="2:12" ht="18.75" customHeight="1" x14ac:dyDescent="0.35">
      <c r="B47" s="13"/>
      <c r="C47" s="12"/>
      <c r="D47" s="12"/>
      <c r="E47" s="12"/>
      <c r="F47" s="12"/>
      <c r="G47" s="12"/>
      <c r="H47" s="12"/>
      <c r="I47" s="12"/>
      <c r="J47" s="12"/>
      <c r="K47" s="12"/>
      <c r="L47" s="14"/>
    </row>
  </sheetData>
  <sheetProtection password="FFFD" sheet="1" insertRows="0"/>
  <protectedRanges>
    <protectedRange password="CDD2" sqref="H32:J42 H17:J27 H6:J7" name="Prüfung"/>
  </protectedRanges>
  <mergeCells count="30">
    <mergeCell ref="C24:D24"/>
    <mergeCell ref="C35:D35"/>
    <mergeCell ref="C27:D27"/>
    <mergeCell ref="C37:D37"/>
    <mergeCell ref="C23:D23"/>
    <mergeCell ref="C33:D33"/>
    <mergeCell ref="C25:D25"/>
    <mergeCell ref="C31:D31"/>
    <mergeCell ref="C32:D32"/>
    <mergeCell ref="C34:D34"/>
    <mergeCell ref="H3:K3"/>
    <mergeCell ref="C22:D22"/>
    <mergeCell ref="C3:F3"/>
    <mergeCell ref="C16:D16"/>
    <mergeCell ref="C17:D17"/>
    <mergeCell ref="C5:D5"/>
    <mergeCell ref="C11:D11"/>
    <mergeCell ref="C18:D18"/>
    <mergeCell ref="C12:D12"/>
    <mergeCell ref="C20:D20"/>
    <mergeCell ref="C19:D19"/>
    <mergeCell ref="C21:D21"/>
    <mergeCell ref="C6:D6"/>
    <mergeCell ref="C7:D7"/>
    <mergeCell ref="F6:F7"/>
    <mergeCell ref="C40:D40"/>
    <mergeCell ref="C38:D38"/>
    <mergeCell ref="C42:D42"/>
    <mergeCell ref="C36:D36"/>
    <mergeCell ref="C39:D39"/>
  </mergeCells>
  <conditionalFormatting sqref="F17:F27 F32:F42">
    <cfRule type="expression" dxfId="263" priority="5">
      <formula>AND(F17="",NOT(E17=""))</formula>
    </cfRule>
  </conditionalFormatting>
  <conditionalFormatting sqref="E17:E27 E32:E42">
    <cfRule type="expression" dxfId="262" priority="4">
      <formula>AND(E17="",NOT(F17=""))</formula>
    </cfRule>
  </conditionalFormatting>
  <conditionalFormatting sqref="H17:H27 H32:H42">
    <cfRule type="containsText" dxfId="261" priority="3" operator="containsText" text="j">
      <formula>NOT(ISERROR(SEARCH("j",H17)))</formula>
    </cfRule>
  </conditionalFormatting>
  <conditionalFormatting sqref="J17:J27 J32:J42">
    <cfRule type="containsText" dxfId="260" priority="2" operator="containsText" text="j">
      <formula>NOT(ISERROR(SEARCH("j",J17)))</formula>
    </cfRule>
  </conditionalFormatting>
  <pageMargins left="0.7" right="0.7" top="0.78740157499999996" bottom="0.78740157499999996" header="0.3" footer="0.3"/>
  <pageSetup paperSize="9" scale="5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 id="{B4D7A7B4-0104-4CA4-BDEF-C7AC71B5D3A0}">
            <xm:f>AND(Eingabe!$Q$45="ja",H17="",NOT(F17=""))</xm:f>
            <x14:dxf>
              <fill>
                <patternFill>
                  <bgColor theme="5" tint="0.59996337778862885"/>
                </patternFill>
              </fill>
            </x14:dxf>
          </x14:cfRule>
          <xm:sqref>H17:H27 H32:H42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2:AG32"/>
  <sheetViews>
    <sheetView showGridLines="0" topLeftCell="H1" zoomScale="85" zoomScaleNormal="85" workbookViewId="0">
      <selection activeCell="N8" sqref="N8"/>
    </sheetView>
  </sheetViews>
  <sheetFormatPr baseColWidth="10" defaultColWidth="11.453125" defaultRowHeight="13" x14ac:dyDescent="0.35"/>
  <cols>
    <col min="1" max="2" width="2.54296875" style="44" customWidth="1"/>
    <col min="3" max="3" width="8.453125" style="44" customWidth="1"/>
    <col min="4" max="4" width="10.6328125" style="44" customWidth="1"/>
    <col min="5" max="5" width="8.453125" style="44" customWidth="1"/>
    <col min="6" max="6" width="35.90625" style="44" customWidth="1"/>
    <col min="7" max="7" width="37.453125" style="44" customWidth="1"/>
    <col min="8" max="8" width="15.90625" style="44" customWidth="1"/>
    <col min="9" max="13" width="13.6328125" style="44" customWidth="1"/>
    <col min="14" max="14" width="60.90625" style="44" customWidth="1"/>
    <col min="15" max="25" width="14.6328125" style="44" customWidth="1"/>
    <col min="26" max="26" width="45.54296875" style="44" customWidth="1"/>
    <col min="27" max="27" width="10.54296875" style="44" customWidth="1"/>
    <col min="28" max="28" width="45.54296875" style="44" customWidth="1"/>
    <col min="29" max="29" width="20.54296875" style="44" customWidth="1"/>
    <col min="30" max="30" width="45.54296875" style="44" customWidth="1"/>
    <col min="31" max="31" width="9.453125" style="44" customWidth="1"/>
    <col min="32" max="32" width="2.54296875" style="44" customWidth="1"/>
    <col min="33" max="16384" width="11.453125" style="44"/>
  </cols>
  <sheetData>
    <row r="2" spans="2:32" ht="18.75" customHeight="1" x14ac:dyDescent="0.35">
      <c r="B2" s="40"/>
      <c r="C2" s="41"/>
      <c r="D2" s="41"/>
      <c r="E2" s="41"/>
      <c r="F2" s="41"/>
      <c r="G2" s="41"/>
      <c r="H2" s="41"/>
      <c r="I2" s="41"/>
      <c r="J2" s="41"/>
      <c r="K2" s="41"/>
      <c r="L2" s="41"/>
      <c r="M2" s="41"/>
      <c r="N2" s="41"/>
      <c r="O2" s="41"/>
      <c r="P2" s="41"/>
      <c r="Q2" s="41"/>
      <c r="R2" s="41"/>
      <c r="S2" s="41"/>
      <c r="T2" s="41"/>
      <c r="U2" s="41"/>
      <c r="V2" s="41"/>
      <c r="W2" s="41"/>
      <c r="X2" s="42"/>
      <c r="Y2" s="42"/>
      <c r="Z2" s="42"/>
      <c r="AA2" s="42"/>
      <c r="AB2" s="42"/>
      <c r="AC2" s="42"/>
      <c r="AD2" s="42"/>
      <c r="AE2" s="42"/>
      <c r="AF2" s="43"/>
    </row>
    <row r="3" spans="2:32" ht="22.5" customHeight="1" x14ac:dyDescent="0.35">
      <c r="B3" s="45"/>
      <c r="C3" s="583" t="s">
        <v>6</v>
      </c>
      <c r="D3" s="583"/>
      <c r="E3" s="583"/>
      <c r="F3" s="583"/>
      <c r="G3" s="583"/>
      <c r="H3" s="591"/>
      <c r="I3" s="591"/>
      <c r="J3" s="271"/>
      <c r="K3" s="271"/>
      <c r="L3" s="271"/>
      <c r="M3" s="592"/>
      <c r="N3" s="592"/>
      <c r="O3" s="46"/>
      <c r="P3" s="46"/>
      <c r="Q3" s="46"/>
      <c r="R3" s="46"/>
      <c r="S3" s="46"/>
      <c r="T3" s="46"/>
      <c r="U3" s="46"/>
      <c r="V3" s="46"/>
      <c r="W3" s="583"/>
      <c r="X3" s="583"/>
      <c r="Y3" s="583"/>
      <c r="Z3" s="583"/>
      <c r="AA3" s="591"/>
      <c r="AB3" s="591"/>
      <c r="AC3" s="592"/>
      <c r="AD3" s="592"/>
      <c r="AE3" s="81"/>
      <c r="AF3" s="48"/>
    </row>
    <row r="4" spans="2:32" ht="21.5" thickBot="1" x14ac:dyDescent="0.4">
      <c r="B4" s="45"/>
      <c r="C4" s="81"/>
      <c r="D4" s="154"/>
      <c r="E4" s="81"/>
      <c r="F4" s="81"/>
      <c r="G4" s="81"/>
      <c r="H4" s="81"/>
      <c r="I4" s="81"/>
      <c r="J4" s="270"/>
      <c r="K4" s="270"/>
      <c r="L4" s="270"/>
      <c r="M4" s="81"/>
      <c r="N4" s="81"/>
      <c r="O4" s="81"/>
      <c r="P4" s="81"/>
      <c r="Q4" s="81"/>
      <c r="R4" s="270"/>
      <c r="S4" s="270"/>
      <c r="T4" s="270"/>
      <c r="U4" s="270"/>
      <c r="V4" s="81"/>
      <c r="W4" s="81"/>
      <c r="X4" s="49"/>
      <c r="Y4" s="49"/>
      <c r="Z4" s="49"/>
      <c r="AA4" s="49"/>
      <c r="AB4" s="49"/>
      <c r="AC4" s="49"/>
      <c r="AD4" s="81"/>
      <c r="AE4" s="81"/>
      <c r="AF4" s="48"/>
    </row>
    <row r="5" spans="2:32" ht="15.75" customHeight="1" x14ac:dyDescent="0.35">
      <c r="B5" s="45"/>
      <c r="C5" s="586" t="s">
        <v>26</v>
      </c>
      <c r="D5" s="587"/>
      <c r="E5" s="587"/>
      <c r="F5" s="587"/>
      <c r="G5" s="587"/>
      <c r="H5" s="587"/>
      <c r="I5" s="587"/>
      <c r="J5" s="587"/>
      <c r="K5" s="587"/>
      <c r="L5" s="587"/>
      <c r="M5" s="587"/>
      <c r="N5" s="587"/>
      <c r="O5" s="587"/>
      <c r="P5" s="587"/>
      <c r="Q5" s="587"/>
      <c r="R5" s="587"/>
      <c r="S5" s="587"/>
      <c r="T5" s="587"/>
      <c r="U5" s="587"/>
      <c r="V5" s="588"/>
      <c r="W5" s="584" t="str">
        <f>C5 &amp; " - Prüfung"</f>
        <v>a.1) Angestellte - Prüfung</v>
      </c>
      <c r="X5" s="584"/>
      <c r="Y5" s="584"/>
      <c r="Z5" s="584"/>
      <c r="AA5" s="584"/>
      <c r="AB5" s="584"/>
      <c r="AC5" s="584"/>
      <c r="AD5" s="584"/>
      <c r="AE5" s="585"/>
      <c r="AF5" s="48"/>
    </row>
    <row r="6" spans="2:32" ht="15.75" customHeight="1" thickBot="1" x14ac:dyDescent="0.4">
      <c r="B6" s="45"/>
      <c r="C6" s="276"/>
      <c r="D6" s="597" t="s">
        <v>104</v>
      </c>
      <c r="E6" s="597"/>
      <c r="F6" s="597"/>
      <c r="G6" s="597"/>
      <c r="H6" s="597"/>
      <c r="I6" s="597"/>
      <c r="J6" s="597"/>
      <c r="K6" s="597"/>
      <c r="L6" s="597"/>
      <c r="M6" s="597"/>
      <c r="N6" s="597"/>
      <c r="O6" s="595" t="s">
        <v>133</v>
      </c>
      <c r="P6" s="595"/>
      <c r="Q6" s="596"/>
      <c r="R6" s="579" t="s">
        <v>201</v>
      </c>
      <c r="S6" s="580"/>
      <c r="T6" s="580"/>
      <c r="U6" s="580"/>
      <c r="V6" s="581"/>
      <c r="W6" s="589" t="s">
        <v>91</v>
      </c>
      <c r="X6" s="589"/>
      <c r="Y6" s="589"/>
      <c r="Z6" s="589"/>
      <c r="AA6" s="590"/>
      <c r="AB6" s="60" t="s">
        <v>153</v>
      </c>
      <c r="AC6" s="593" t="s">
        <v>91</v>
      </c>
      <c r="AD6" s="594"/>
      <c r="AE6" s="66"/>
      <c r="AF6" s="48"/>
    </row>
    <row r="7" spans="2:32" ht="60" customHeight="1" x14ac:dyDescent="0.35">
      <c r="B7" s="45"/>
      <c r="C7" s="72" t="s">
        <v>9</v>
      </c>
      <c r="D7" s="100" t="s">
        <v>77</v>
      </c>
      <c r="E7" s="100" t="s">
        <v>115</v>
      </c>
      <c r="F7" s="73" t="s">
        <v>100</v>
      </c>
      <c r="G7" s="73" t="s">
        <v>81</v>
      </c>
      <c r="H7" s="73" t="s">
        <v>212</v>
      </c>
      <c r="I7" s="73" t="s">
        <v>200</v>
      </c>
      <c r="J7" s="73" t="s">
        <v>189</v>
      </c>
      <c r="K7" s="73" t="s">
        <v>190</v>
      </c>
      <c r="L7" s="73" t="s">
        <v>191</v>
      </c>
      <c r="M7" s="73" t="s">
        <v>192</v>
      </c>
      <c r="N7" s="73" t="s">
        <v>47</v>
      </c>
      <c r="O7" s="79" t="s">
        <v>52</v>
      </c>
      <c r="P7" s="79" t="s">
        <v>154</v>
      </c>
      <c r="Q7" s="79" t="s">
        <v>61</v>
      </c>
      <c r="R7" s="73" t="s">
        <v>193</v>
      </c>
      <c r="S7" s="73" t="s">
        <v>194</v>
      </c>
      <c r="T7" s="73" t="s">
        <v>195</v>
      </c>
      <c r="U7" s="73" t="s">
        <v>196</v>
      </c>
      <c r="V7" s="324" t="s">
        <v>197</v>
      </c>
      <c r="W7" s="296" t="s">
        <v>59</v>
      </c>
      <c r="X7" s="279" t="s">
        <v>151</v>
      </c>
      <c r="Y7" s="280" t="s">
        <v>152</v>
      </c>
      <c r="Z7" s="281" t="s">
        <v>40</v>
      </c>
      <c r="AA7" s="282" t="s">
        <v>57</v>
      </c>
      <c r="AB7" s="283" t="s">
        <v>89</v>
      </c>
      <c r="AC7" s="280" t="s">
        <v>54</v>
      </c>
      <c r="AD7" s="281" t="s">
        <v>48</v>
      </c>
      <c r="AE7" s="59" t="s">
        <v>95</v>
      </c>
      <c r="AF7" s="48"/>
    </row>
    <row r="8" spans="2:32" ht="14.5" x14ac:dyDescent="0.35">
      <c r="B8" s="45"/>
      <c r="C8" s="92" t="str">
        <f t="shared" ref="C8:C17" si="0">"a.1."&amp;ROW()-7</f>
        <v>a.1.1</v>
      </c>
      <c r="D8" s="93"/>
      <c r="E8" s="93"/>
      <c r="F8" s="93"/>
      <c r="G8" s="76"/>
      <c r="H8" s="94"/>
      <c r="I8" s="95"/>
      <c r="J8" s="95"/>
      <c r="K8" s="95"/>
      <c r="L8" s="95"/>
      <c r="M8" s="95"/>
      <c r="N8" s="76"/>
      <c r="O8" s="76"/>
      <c r="P8" s="76"/>
      <c r="Q8" s="76"/>
      <c r="R8" s="328">
        <f>IF(SUM(Tabelle7[[#This Row],[IST-Stunden Abrechnungs-zeitraum "A" 
(1. ZWB)]:[IST-Stunden Abrechnungs-zeitraum "D" 
(Endbericht)]])&gt;$I8,"zu viele Stunden im Projekt",ROUNDUP(IF($I8=0,0,$H8/$I8*J8),2))</f>
        <v>0</v>
      </c>
      <c r="S8" s="328">
        <f>IF(SUM(Tabelle7[[#This Row],[IST-Stunden Abrechnungs-zeitraum "A" 
(1. ZWB)]:[IST-Stunden Abrechnungs-zeitraum "D" 
(Endbericht)]])&gt;$I8,"zu viele Stunden im Projekt",ROUNDUP(IF($I8=0,0,$H8/$I8*K8),2))</f>
        <v>0</v>
      </c>
      <c r="T8" s="328">
        <f>IF(SUM(Tabelle7[[#This Row],[IST-Stunden Abrechnungs-zeitraum "A" 
(1. ZWB)]:[IST-Stunden Abrechnungs-zeitraum "D" 
(Endbericht)]])&gt;$I8,"zu viele Stunden im Projekt",ROUNDUP(IF($I8=0,0,$H8/$I8*L8),2))</f>
        <v>0</v>
      </c>
      <c r="U8" s="328">
        <f>IF(SUM(Tabelle7[[#This Row],[IST-Stunden Abrechnungs-zeitraum "A" 
(1. ZWB)]:[IST-Stunden Abrechnungs-zeitraum "D" 
(Endbericht)]])&gt;$I8,"zu viele Stunden im Projekt",ROUNDUP(IF($I8=0,0,$H8/$I8*M8),2))</f>
        <v>0</v>
      </c>
      <c r="V8" s="329">
        <f>SUM(Tabelle7[[#This Row],[Betrag Abrechnungs-zeitraum "A"
1. ZWB]:[Betrag Abrechnungs-zeitraum "D"
Endbericht]])</f>
        <v>0</v>
      </c>
      <c r="W8" s="297"/>
      <c r="X8" s="83">
        <f>IF(Eingabe!$Q$45="ja", V8-Y8+AC8,Overview!$AA$15)</f>
        <v>0</v>
      </c>
      <c r="Y8" s="84"/>
      <c r="Z8" s="85"/>
      <c r="AA8" s="86"/>
      <c r="AB8" s="87"/>
      <c r="AC8" s="82"/>
      <c r="AD8" s="85"/>
      <c r="AE8" s="285" t="str">
        <f>C8</f>
        <v>a.1.1</v>
      </c>
      <c r="AF8" s="48"/>
    </row>
    <row r="9" spans="2:32" ht="14.5" x14ac:dyDescent="0.35">
      <c r="B9" s="45"/>
      <c r="C9" s="74" t="str">
        <f t="shared" si="0"/>
        <v>a.1.2</v>
      </c>
      <c r="D9" s="93"/>
      <c r="E9" s="93"/>
      <c r="F9" s="93"/>
      <c r="G9" s="76"/>
      <c r="H9" s="94"/>
      <c r="I9" s="95"/>
      <c r="J9" s="95"/>
      <c r="K9" s="95"/>
      <c r="L9" s="95"/>
      <c r="M9" s="95"/>
      <c r="N9" s="76"/>
      <c r="O9" s="76"/>
      <c r="P9" s="76"/>
      <c r="Q9" s="76"/>
      <c r="R9" s="328">
        <f>IF(SUM(Tabelle7[[#This Row],[IST-Stunden Abrechnungs-zeitraum "A" 
(1. ZWB)]:[IST-Stunden Abrechnungs-zeitraum "D" 
(Endbericht)]])&gt;$I9,"zu viele Stunden im Projekt",ROUNDUP(IF($I9=0,0,$H9/$I9*J9),2))</f>
        <v>0</v>
      </c>
      <c r="S9" s="328">
        <f>IF(SUM(Tabelle7[[#This Row],[IST-Stunden Abrechnungs-zeitraum "A" 
(1. ZWB)]:[IST-Stunden Abrechnungs-zeitraum "D" 
(Endbericht)]])&gt;$I9,"zu viele Stunden im Projekt",ROUNDUP(IF($I9=0,0,$H9/$I9*K9),2))</f>
        <v>0</v>
      </c>
      <c r="T9" s="328">
        <f>IF(SUM(Tabelle7[[#This Row],[IST-Stunden Abrechnungs-zeitraum "A" 
(1. ZWB)]:[IST-Stunden Abrechnungs-zeitraum "D" 
(Endbericht)]])&gt;$I9,"zu viele Stunden im Projekt",ROUNDUP(IF($I9=0,0,$H9/$I9*L9),2))</f>
        <v>0</v>
      </c>
      <c r="U9" s="328">
        <f>IF(SUM(Tabelle7[[#This Row],[IST-Stunden Abrechnungs-zeitraum "A" 
(1. ZWB)]:[IST-Stunden Abrechnungs-zeitraum "D" 
(Endbericht)]])&gt;$I9,"zu viele Stunden im Projekt",ROUNDUP(IF($I9=0,0,$H9/$I9*M9),2))</f>
        <v>0</v>
      </c>
      <c r="V9" s="329">
        <f>SUM(Tabelle7[[#This Row],[Betrag Abrechnungs-zeitraum "A"
1. ZWB]:[Betrag Abrechnungs-zeitraum "D"
Endbericht]])</f>
        <v>0</v>
      </c>
      <c r="W9" s="297"/>
      <c r="X9" s="378">
        <f>IF(Eingabe!$Q$45="ja", V9-Y9+AC9,Overview!$AA$15)</f>
        <v>0</v>
      </c>
      <c r="Y9" s="84"/>
      <c r="Z9" s="85"/>
      <c r="AA9" s="86"/>
      <c r="AB9" s="87"/>
      <c r="AC9" s="82"/>
      <c r="AD9" s="85"/>
      <c r="AE9" s="286" t="str">
        <f>C9</f>
        <v>a.1.2</v>
      </c>
      <c r="AF9" s="48"/>
    </row>
    <row r="10" spans="2:32" ht="14.5" x14ac:dyDescent="0.35">
      <c r="B10" s="45"/>
      <c r="C10" s="74" t="str">
        <f t="shared" si="0"/>
        <v>a.1.3</v>
      </c>
      <c r="D10" s="93"/>
      <c r="E10" s="93"/>
      <c r="F10" s="93"/>
      <c r="G10" s="99"/>
      <c r="H10" s="94"/>
      <c r="I10" s="95"/>
      <c r="J10" s="95"/>
      <c r="K10" s="95"/>
      <c r="L10" s="95"/>
      <c r="M10" s="95"/>
      <c r="N10" s="76"/>
      <c r="O10" s="76"/>
      <c r="P10" s="76"/>
      <c r="Q10" s="76"/>
      <c r="R10" s="328">
        <f>IF(SUM(Tabelle7[[#This Row],[IST-Stunden Abrechnungs-zeitraum "A" 
(1. ZWB)]:[IST-Stunden Abrechnungs-zeitraum "D" 
(Endbericht)]])&gt;$I10,"zu viele Stunden im Projekt",ROUNDUP(IF($I10=0,0,$H10/$I10*J10),2))</f>
        <v>0</v>
      </c>
      <c r="S10" s="328">
        <f>IF(SUM(Tabelle7[[#This Row],[IST-Stunden Abrechnungs-zeitraum "A" 
(1. ZWB)]:[IST-Stunden Abrechnungs-zeitraum "D" 
(Endbericht)]])&gt;$I10,"zu viele Stunden im Projekt",ROUNDUP(IF($I10=0,0,$H10/$I10*K10),2))</f>
        <v>0</v>
      </c>
      <c r="T10" s="328">
        <f>IF(SUM(Tabelle7[[#This Row],[IST-Stunden Abrechnungs-zeitraum "A" 
(1. ZWB)]:[IST-Stunden Abrechnungs-zeitraum "D" 
(Endbericht)]])&gt;$I10,"zu viele Stunden im Projekt",ROUNDUP(IF($I10=0,0,$H10/$I10*L10),2))</f>
        <v>0</v>
      </c>
      <c r="U10" s="328">
        <f>IF(SUM(Tabelle7[[#This Row],[IST-Stunden Abrechnungs-zeitraum "A" 
(1. ZWB)]:[IST-Stunden Abrechnungs-zeitraum "D" 
(Endbericht)]])&gt;$I10,"zu viele Stunden im Projekt",ROUNDUP(IF($I10=0,0,$H10/$I10*M10),2))</f>
        <v>0</v>
      </c>
      <c r="V10" s="329">
        <f>SUM(Tabelle7[[#This Row],[Betrag Abrechnungs-zeitraum "A"
1. ZWB]:[Betrag Abrechnungs-zeitraum "D"
Endbericht]])</f>
        <v>0</v>
      </c>
      <c r="W10" s="297"/>
      <c r="X10" s="378">
        <f>IF(Eingabe!$Q$45="ja", V10-Y10+AC10,Overview!$AA$15)</f>
        <v>0</v>
      </c>
      <c r="Y10" s="84"/>
      <c r="Z10" s="85"/>
      <c r="AA10" s="86"/>
      <c r="AB10" s="87"/>
      <c r="AC10" s="82"/>
      <c r="AD10" s="85"/>
      <c r="AE10" s="286" t="str">
        <f>C10</f>
        <v>a.1.3</v>
      </c>
      <c r="AF10" s="48"/>
    </row>
    <row r="11" spans="2:32" ht="14.5" x14ac:dyDescent="0.35">
      <c r="B11" s="45"/>
      <c r="C11" s="96" t="str">
        <f t="shared" ref="C11" si="1">"a.1."&amp;ROW()-7</f>
        <v>a.1.4</v>
      </c>
      <c r="D11" s="275"/>
      <c r="E11" s="275"/>
      <c r="F11" s="275"/>
      <c r="G11" s="76"/>
      <c r="H11" s="97"/>
      <c r="I11" s="98"/>
      <c r="J11" s="98"/>
      <c r="K11" s="98"/>
      <c r="L11" s="98"/>
      <c r="M11" s="98"/>
      <c r="N11" s="76"/>
      <c r="O11" s="76"/>
      <c r="P11" s="99"/>
      <c r="Q11" s="99"/>
      <c r="R11" s="328">
        <f>IF(SUM(Tabelle7[[#This Row],[IST-Stunden Abrechnungs-zeitraum "A" 
(1. ZWB)]:[IST-Stunden Abrechnungs-zeitraum "D" 
(Endbericht)]])&gt;$I11,"zu viele Stunden im Projekt",ROUNDUP(IF($I11=0,0,$H11/$I11*J11),2))</f>
        <v>0</v>
      </c>
      <c r="S11" s="328">
        <f>IF(SUM(Tabelle7[[#This Row],[IST-Stunden Abrechnungs-zeitraum "A" 
(1. ZWB)]:[IST-Stunden Abrechnungs-zeitraum "D" 
(Endbericht)]])&gt;$I11,"zu viele Stunden im Projekt",ROUNDUP(IF($I11=0,0,$H11/$I11*K11),2))</f>
        <v>0</v>
      </c>
      <c r="T11" s="328">
        <f>IF(SUM(Tabelle7[[#This Row],[IST-Stunden Abrechnungs-zeitraum "A" 
(1. ZWB)]:[IST-Stunden Abrechnungs-zeitraum "D" 
(Endbericht)]])&gt;$I11,"zu viele Stunden im Projekt",ROUNDUP(IF($I11=0,0,$H11/$I11*L11),2))</f>
        <v>0</v>
      </c>
      <c r="U11" s="328">
        <f>IF(SUM(Tabelle7[[#This Row],[IST-Stunden Abrechnungs-zeitraum "A" 
(1. ZWB)]:[IST-Stunden Abrechnungs-zeitraum "D" 
(Endbericht)]])&gt;$I11,"zu viele Stunden im Projekt",ROUNDUP(IF($I11=0,0,$H11/$I11*M11),2))</f>
        <v>0</v>
      </c>
      <c r="V11" s="329">
        <f>SUM(Tabelle7[[#This Row],[Betrag Abrechnungs-zeitraum "A"
1. ZWB]:[Betrag Abrechnungs-zeitraum "D"
Endbericht]])</f>
        <v>0</v>
      </c>
      <c r="W11" s="298"/>
      <c r="X11" s="378">
        <f>IF(Eingabe!$Q$45="ja", V11-Y11+AC11,Overview!$AA$15)</f>
        <v>0</v>
      </c>
      <c r="Y11" s="145"/>
      <c r="Z11" s="146"/>
      <c r="AA11" s="147"/>
      <c r="AB11" s="148"/>
      <c r="AC11" s="149"/>
      <c r="AD11" s="146"/>
      <c r="AE11" s="287" t="str">
        <f t="shared" ref="AE11" si="2">C11</f>
        <v>a.1.4</v>
      </c>
      <c r="AF11" s="48"/>
    </row>
    <row r="12" spans="2:32" ht="14.5" x14ac:dyDescent="0.35">
      <c r="B12" s="45"/>
      <c r="C12" s="74" t="str">
        <f t="shared" si="0"/>
        <v>a.1.5</v>
      </c>
      <c r="D12" s="93"/>
      <c r="E12" s="93"/>
      <c r="F12" s="93"/>
      <c r="G12" s="76"/>
      <c r="H12" s="94"/>
      <c r="I12" s="95"/>
      <c r="J12" s="95"/>
      <c r="K12" s="95"/>
      <c r="L12" s="95"/>
      <c r="M12" s="95"/>
      <c r="N12" s="76"/>
      <c r="O12" s="76"/>
      <c r="P12" s="76"/>
      <c r="Q12" s="76"/>
      <c r="R12" s="328">
        <f>IF(SUM(Tabelle7[[#This Row],[IST-Stunden Abrechnungs-zeitraum "A" 
(1. ZWB)]:[IST-Stunden Abrechnungs-zeitraum "D" 
(Endbericht)]])&gt;$I12,"zu viele Stunden im Projekt",ROUNDUP(IF($I12=0,0,$H12/$I12*J12),2))</f>
        <v>0</v>
      </c>
      <c r="S12" s="328">
        <f>IF(SUM(Tabelle7[[#This Row],[IST-Stunden Abrechnungs-zeitraum "A" 
(1. ZWB)]:[IST-Stunden Abrechnungs-zeitraum "D" 
(Endbericht)]])&gt;$I12,"zu viele Stunden im Projekt",ROUNDUP(IF($I12=0,0,$H12/$I12*K12),2))</f>
        <v>0</v>
      </c>
      <c r="T12" s="328">
        <f>IF(SUM(Tabelle7[[#This Row],[IST-Stunden Abrechnungs-zeitraum "A" 
(1. ZWB)]:[IST-Stunden Abrechnungs-zeitraum "D" 
(Endbericht)]])&gt;$I12,"zu viele Stunden im Projekt",ROUNDUP(IF($I12=0,0,$H12/$I12*L12),2))</f>
        <v>0</v>
      </c>
      <c r="U12" s="328">
        <f>IF(SUM(Tabelle7[[#This Row],[IST-Stunden Abrechnungs-zeitraum "A" 
(1. ZWB)]:[IST-Stunden Abrechnungs-zeitraum "D" 
(Endbericht)]])&gt;$I12,"zu viele Stunden im Projekt",ROUNDUP(IF($I12=0,0,$H12/$I12*M12),2))</f>
        <v>0</v>
      </c>
      <c r="V12" s="329">
        <f>SUM(Tabelle7[[#This Row],[Betrag Abrechnungs-zeitraum "A"
1. ZWB]:[Betrag Abrechnungs-zeitraum "D"
Endbericht]])</f>
        <v>0</v>
      </c>
      <c r="W12" s="297"/>
      <c r="X12" s="378">
        <f>IF(Eingabe!$Q$45="ja", V12-Y12+AC12,Overview!$AA$15)</f>
        <v>0</v>
      </c>
      <c r="Y12" s="84"/>
      <c r="Z12" s="85"/>
      <c r="AA12" s="86"/>
      <c r="AB12" s="87"/>
      <c r="AC12" s="82"/>
      <c r="AD12" s="85"/>
      <c r="AE12" s="286" t="str">
        <f t="shared" ref="AE12" si="3">C12</f>
        <v>a.1.5</v>
      </c>
      <c r="AF12" s="48"/>
    </row>
    <row r="13" spans="2:32" ht="14.5" x14ac:dyDescent="0.35">
      <c r="B13" s="45"/>
      <c r="C13" s="364" t="str">
        <f t="shared" ref="C13:C16" si="4">"a.1."&amp;ROW()-7</f>
        <v>a.1.6</v>
      </c>
      <c r="D13" s="365"/>
      <c r="E13" s="365"/>
      <c r="F13" s="365"/>
      <c r="G13" s="368"/>
      <c r="H13" s="366"/>
      <c r="I13" s="367"/>
      <c r="J13" s="367"/>
      <c r="K13" s="367"/>
      <c r="L13" s="367"/>
      <c r="M13" s="367"/>
      <c r="N13" s="368"/>
      <c r="O13" s="368"/>
      <c r="P13" s="368"/>
      <c r="Q13" s="369"/>
      <c r="R13" s="371">
        <f>IF(SUM(Tabelle7[[#This Row],[IST-Stunden Abrechnungs-zeitraum "A" 
(1. ZWB)]:[IST-Stunden Abrechnungs-zeitraum "D" 
(Endbericht)]])&gt;$I13,"zu viele Stunden im Projekt",ROUNDUP(IF($I13=0,0,$H13/$I13*J13),2))</f>
        <v>0</v>
      </c>
      <c r="S13" s="371">
        <f>IF(SUM(Tabelle7[[#This Row],[IST-Stunden Abrechnungs-zeitraum "A" 
(1. ZWB)]:[IST-Stunden Abrechnungs-zeitraum "D" 
(Endbericht)]])&gt;$I13,"zu viele Stunden im Projekt",ROUNDUP(IF($I13=0,0,$H13/$I13*K13),2))</f>
        <v>0</v>
      </c>
      <c r="T13" s="371">
        <f>IF(SUM(Tabelle7[[#This Row],[IST-Stunden Abrechnungs-zeitraum "A" 
(1. ZWB)]:[IST-Stunden Abrechnungs-zeitraum "D" 
(Endbericht)]])&gt;$I13,"zu viele Stunden im Projekt",ROUNDUP(IF($I13=0,0,$H13/$I13*L13),2))</f>
        <v>0</v>
      </c>
      <c r="U13" s="371">
        <f>IF(SUM(Tabelle7[[#This Row],[IST-Stunden Abrechnungs-zeitraum "A" 
(1. ZWB)]:[IST-Stunden Abrechnungs-zeitraum "D" 
(Endbericht)]])&gt;$I13,"zu viele Stunden im Projekt",ROUNDUP(IF($I13=0,0,$H13/$I13*M13),2))</f>
        <v>0</v>
      </c>
      <c r="V13" s="372">
        <f>SUM(Tabelle7[[#This Row],[Betrag Abrechnungs-zeitraum "A"
1. ZWB]:[Betrag Abrechnungs-zeitraum "D"
Endbericht]])</f>
        <v>0</v>
      </c>
      <c r="W13" s="370"/>
      <c r="X13" s="378">
        <f>IF(Eingabe!$Q$45="ja", V13-Y13+AC13,Overview!$AA$15)</f>
        <v>0</v>
      </c>
      <c r="Y13" s="150"/>
      <c r="Z13" s="88"/>
      <c r="AA13" s="89"/>
      <c r="AB13" s="90"/>
      <c r="AC13" s="91"/>
      <c r="AD13" s="88"/>
      <c r="AE13" s="286" t="str">
        <f t="shared" ref="AE13:AE16" si="5">C13</f>
        <v>a.1.6</v>
      </c>
      <c r="AF13" s="48"/>
    </row>
    <row r="14" spans="2:32" ht="14.5" x14ac:dyDescent="0.35">
      <c r="B14" s="45"/>
      <c r="C14" s="364" t="str">
        <f t="shared" si="4"/>
        <v>a.1.7</v>
      </c>
      <c r="D14" s="365"/>
      <c r="E14" s="365"/>
      <c r="F14" s="365"/>
      <c r="G14" s="368"/>
      <c r="H14" s="366"/>
      <c r="I14" s="367"/>
      <c r="J14" s="367"/>
      <c r="K14" s="367"/>
      <c r="L14" s="367"/>
      <c r="M14" s="367"/>
      <c r="N14" s="368"/>
      <c r="O14" s="368"/>
      <c r="P14" s="368"/>
      <c r="Q14" s="369"/>
      <c r="R14" s="371">
        <f>IF(SUM(Tabelle7[[#This Row],[IST-Stunden Abrechnungs-zeitraum "A" 
(1. ZWB)]:[IST-Stunden Abrechnungs-zeitraum "D" 
(Endbericht)]])&gt;$I14,"zu viele Stunden im Projekt",ROUNDUP(IF($I14=0,0,$H14/$I14*J14),2))</f>
        <v>0</v>
      </c>
      <c r="S14" s="371">
        <f>IF(SUM(Tabelle7[[#This Row],[IST-Stunden Abrechnungs-zeitraum "A" 
(1. ZWB)]:[IST-Stunden Abrechnungs-zeitraum "D" 
(Endbericht)]])&gt;$I14,"zu viele Stunden im Projekt",ROUNDUP(IF($I14=0,0,$H14/$I14*K14),2))</f>
        <v>0</v>
      </c>
      <c r="T14" s="371">
        <f>IF(SUM(Tabelle7[[#This Row],[IST-Stunden Abrechnungs-zeitraum "A" 
(1. ZWB)]:[IST-Stunden Abrechnungs-zeitraum "D" 
(Endbericht)]])&gt;$I14,"zu viele Stunden im Projekt",ROUNDUP(IF($I14=0,0,$H14/$I14*L14),2))</f>
        <v>0</v>
      </c>
      <c r="U14" s="371">
        <f>IF(SUM(Tabelle7[[#This Row],[IST-Stunden Abrechnungs-zeitraum "A" 
(1. ZWB)]:[IST-Stunden Abrechnungs-zeitraum "D" 
(Endbericht)]])&gt;$I14,"zu viele Stunden im Projekt",ROUNDUP(IF($I14=0,0,$H14/$I14*M14),2))</f>
        <v>0</v>
      </c>
      <c r="V14" s="372">
        <f>SUM(Tabelle7[[#This Row],[Betrag Abrechnungs-zeitraum "A"
1. ZWB]:[Betrag Abrechnungs-zeitraum "D"
Endbericht]])</f>
        <v>0</v>
      </c>
      <c r="W14" s="370"/>
      <c r="X14" s="378">
        <f>IF(Eingabe!$Q$45="ja", V14-Y14+AC14,Overview!$AA$15)</f>
        <v>0</v>
      </c>
      <c r="Y14" s="150"/>
      <c r="Z14" s="88"/>
      <c r="AA14" s="89"/>
      <c r="AB14" s="90"/>
      <c r="AC14" s="91"/>
      <c r="AD14" s="88"/>
      <c r="AE14" s="286" t="str">
        <f t="shared" si="5"/>
        <v>a.1.7</v>
      </c>
      <c r="AF14" s="48"/>
    </row>
    <row r="15" spans="2:32" ht="14.5" x14ac:dyDescent="0.35">
      <c r="B15" s="45"/>
      <c r="C15" s="364" t="str">
        <f t="shared" si="4"/>
        <v>a.1.8</v>
      </c>
      <c r="D15" s="365"/>
      <c r="E15" s="365"/>
      <c r="F15" s="365"/>
      <c r="G15" s="368"/>
      <c r="H15" s="366"/>
      <c r="I15" s="367"/>
      <c r="J15" s="367"/>
      <c r="K15" s="367"/>
      <c r="L15" s="367"/>
      <c r="M15" s="367"/>
      <c r="N15" s="368"/>
      <c r="O15" s="368"/>
      <c r="P15" s="368"/>
      <c r="Q15" s="369"/>
      <c r="R15" s="371">
        <f>IF(SUM(Tabelle7[[#This Row],[IST-Stunden Abrechnungs-zeitraum "A" 
(1. ZWB)]:[IST-Stunden Abrechnungs-zeitraum "D" 
(Endbericht)]])&gt;$I15,"zu viele Stunden im Projekt",ROUNDUP(IF($I15=0,0,$H15/$I15*J15),2))</f>
        <v>0</v>
      </c>
      <c r="S15" s="371">
        <f>IF(SUM(Tabelle7[[#This Row],[IST-Stunden Abrechnungs-zeitraum "A" 
(1. ZWB)]:[IST-Stunden Abrechnungs-zeitraum "D" 
(Endbericht)]])&gt;$I15,"zu viele Stunden im Projekt",ROUNDUP(IF($I15=0,0,$H15/$I15*K15),2))</f>
        <v>0</v>
      </c>
      <c r="T15" s="371">
        <f>IF(SUM(Tabelle7[[#This Row],[IST-Stunden Abrechnungs-zeitraum "A" 
(1. ZWB)]:[IST-Stunden Abrechnungs-zeitraum "D" 
(Endbericht)]])&gt;$I15,"zu viele Stunden im Projekt",ROUNDUP(IF($I15=0,0,$H15/$I15*L15),2))</f>
        <v>0</v>
      </c>
      <c r="U15" s="371">
        <f>IF(SUM(Tabelle7[[#This Row],[IST-Stunden Abrechnungs-zeitraum "A" 
(1. ZWB)]:[IST-Stunden Abrechnungs-zeitraum "D" 
(Endbericht)]])&gt;$I15,"zu viele Stunden im Projekt",ROUNDUP(IF($I15=0,0,$H15/$I15*M15),2))</f>
        <v>0</v>
      </c>
      <c r="V15" s="372">
        <f>SUM(Tabelle7[[#This Row],[Betrag Abrechnungs-zeitraum "A"
1. ZWB]:[Betrag Abrechnungs-zeitraum "D"
Endbericht]])</f>
        <v>0</v>
      </c>
      <c r="W15" s="370"/>
      <c r="X15" s="378">
        <f>IF(Eingabe!$Q$45="ja", V15-Y15+AC15,Overview!$AA$15)</f>
        <v>0</v>
      </c>
      <c r="Y15" s="150"/>
      <c r="Z15" s="88"/>
      <c r="AA15" s="89"/>
      <c r="AB15" s="90"/>
      <c r="AC15" s="91"/>
      <c r="AD15" s="88"/>
      <c r="AE15" s="286" t="str">
        <f t="shared" si="5"/>
        <v>a.1.8</v>
      </c>
      <c r="AF15" s="48"/>
    </row>
    <row r="16" spans="2:32" ht="14.5" x14ac:dyDescent="0.35">
      <c r="B16" s="45"/>
      <c r="C16" s="364" t="str">
        <f t="shared" si="4"/>
        <v>a.1.9</v>
      </c>
      <c r="D16" s="365"/>
      <c r="E16" s="365"/>
      <c r="F16" s="365"/>
      <c r="G16" s="368"/>
      <c r="H16" s="366"/>
      <c r="I16" s="367"/>
      <c r="J16" s="367"/>
      <c r="K16" s="367"/>
      <c r="L16" s="367"/>
      <c r="M16" s="367"/>
      <c r="N16" s="368"/>
      <c r="O16" s="368"/>
      <c r="P16" s="368"/>
      <c r="Q16" s="369"/>
      <c r="R16" s="371">
        <f>IF(SUM(Tabelle7[[#This Row],[IST-Stunden Abrechnungs-zeitraum "A" 
(1. ZWB)]:[IST-Stunden Abrechnungs-zeitraum "D" 
(Endbericht)]])&gt;$I16,"zu viele Stunden im Projekt",ROUNDUP(IF($I16=0,0,$H16/$I16*J16),2))</f>
        <v>0</v>
      </c>
      <c r="S16" s="371">
        <f>IF(SUM(Tabelle7[[#This Row],[IST-Stunden Abrechnungs-zeitraum "A" 
(1. ZWB)]:[IST-Stunden Abrechnungs-zeitraum "D" 
(Endbericht)]])&gt;$I16,"zu viele Stunden im Projekt",ROUNDUP(IF($I16=0,0,$H16/$I16*K16),2))</f>
        <v>0</v>
      </c>
      <c r="T16" s="371">
        <f>IF(SUM(Tabelle7[[#This Row],[IST-Stunden Abrechnungs-zeitraum "A" 
(1. ZWB)]:[IST-Stunden Abrechnungs-zeitraum "D" 
(Endbericht)]])&gt;$I16,"zu viele Stunden im Projekt",ROUNDUP(IF($I16=0,0,$H16/$I16*L16),2))</f>
        <v>0</v>
      </c>
      <c r="U16" s="371">
        <f>IF(SUM(Tabelle7[[#This Row],[IST-Stunden Abrechnungs-zeitraum "A" 
(1. ZWB)]:[IST-Stunden Abrechnungs-zeitraum "D" 
(Endbericht)]])&gt;$I16,"zu viele Stunden im Projekt",ROUNDUP(IF($I16=0,0,$H16/$I16*M16),2))</f>
        <v>0</v>
      </c>
      <c r="V16" s="372">
        <f>SUM(Tabelle7[[#This Row],[Betrag Abrechnungs-zeitraum "A"
1. ZWB]:[Betrag Abrechnungs-zeitraum "D"
Endbericht]])</f>
        <v>0</v>
      </c>
      <c r="W16" s="370"/>
      <c r="X16" s="378">
        <f>IF(Eingabe!$Q$45="ja", V16-Y16+AC16,Overview!$AA$15)</f>
        <v>0</v>
      </c>
      <c r="Y16" s="150"/>
      <c r="Z16" s="88"/>
      <c r="AA16" s="89"/>
      <c r="AB16" s="90"/>
      <c r="AC16" s="91"/>
      <c r="AD16" s="88"/>
      <c r="AE16" s="286" t="str">
        <f t="shared" si="5"/>
        <v>a.1.9</v>
      </c>
      <c r="AF16" s="48"/>
    </row>
    <row r="17" spans="2:33" ht="26.5" thickBot="1" x14ac:dyDescent="0.4">
      <c r="B17" s="45"/>
      <c r="C17" s="63" t="str">
        <f t="shared" si="0"/>
        <v>a.1.10</v>
      </c>
      <c r="D17" s="64"/>
      <c r="E17" s="64"/>
      <c r="F17" s="64"/>
      <c r="G17" s="65" t="s">
        <v>96</v>
      </c>
      <c r="H17" s="68"/>
      <c r="I17" s="69"/>
      <c r="J17" s="69"/>
      <c r="K17" s="69"/>
      <c r="L17" s="69"/>
      <c r="M17" s="69"/>
      <c r="N17" s="65"/>
      <c r="O17" s="65"/>
      <c r="P17" s="65"/>
      <c r="Q17" s="65"/>
      <c r="R17" s="328">
        <f>IF(SUM(Tabelle7[[#This Row],[IST-Stunden Abrechnungs-zeitraum "A" 
(1. ZWB)]:[IST-Stunden Abrechnungs-zeitraum "D" 
(Endbericht)]])&gt;$I17,"zu viele Stunden im Projekt",ROUNDUP(IF($I17=0,0,$H17/$I17*J17),2))</f>
        <v>0</v>
      </c>
      <c r="S17" s="328">
        <f>IF(SUM(Tabelle7[[#This Row],[IST-Stunden Abrechnungs-zeitraum "A" 
(1. ZWB)]:[IST-Stunden Abrechnungs-zeitraum "D" 
(Endbericht)]])&gt;$I17,"zu viele Stunden im Projekt",ROUNDUP(IF($I17=0,0,$H17/$I17*K17),2))</f>
        <v>0</v>
      </c>
      <c r="T17" s="328">
        <f>IF(SUM(Tabelle7[[#This Row],[IST-Stunden Abrechnungs-zeitraum "A" 
(1. ZWB)]:[IST-Stunden Abrechnungs-zeitraum "D" 
(Endbericht)]])&gt;$I17,"zu viele Stunden im Projekt",ROUNDUP(IF($I17=0,0,$H17/$I17*L17),2))</f>
        <v>0</v>
      </c>
      <c r="U17" s="328">
        <f>IF(SUM(Tabelle7[[#This Row],[IST-Stunden Abrechnungs-zeitraum "A" 
(1. ZWB)]:[IST-Stunden Abrechnungs-zeitraum "D" 
(Endbericht)]])&gt;$I17,"zu viele Stunden im Projekt",ROUNDUP(IF($I17=0,0,$H17/$I17*M17),2))</f>
        <v>0</v>
      </c>
      <c r="V17" s="329">
        <f>SUM(Tabelle7[[#This Row],[Betrag Abrechnungs-zeitraum "A"
1. ZWB]:[Betrag Abrechnungs-zeitraum "D"
Endbericht]])</f>
        <v>0</v>
      </c>
      <c r="W17" s="299"/>
      <c r="X17" s="378">
        <f>IF(Eingabe!$Q$45="ja", V17-Y17+AC17,Overview!$AA$15)</f>
        <v>0</v>
      </c>
      <c r="Y17" s="290"/>
      <c r="Z17" s="291"/>
      <c r="AA17" s="292"/>
      <c r="AB17" s="293"/>
      <c r="AC17" s="294"/>
      <c r="AD17" s="291"/>
      <c r="AE17" s="295" t="str">
        <f>C17</f>
        <v>a.1.10</v>
      </c>
      <c r="AF17" s="48"/>
    </row>
    <row r="18" spans="2:33" ht="14.5" x14ac:dyDescent="0.35">
      <c r="B18" s="45"/>
      <c r="C18" s="81"/>
      <c r="D18" s="154"/>
      <c r="E18" s="81"/>
      <c r="F18" s="81"/>
      <c r="G18" s="54"/>
      <c r="H18" s="54"/>
      <c r="I18" s="61"/>
      <c r="J18" s="61"/>
      <c r="K18" s="61"/>
      <c r="L18" s="61"/>
      <c r="M18" s="61"/>
      <c r="N18" s="54"/>
      <c r="O18" s="262">
        <f>SUMIF(Tabelle7[Beleg vorgelegt (j/n)],"j",Tabelle7[Betrag
Gesamt])</f>
        <v>0</v>
      </c>
      <c r="P18" s="54"/>
      <c r="Q18" s="54"/>
      <c r="R18" s="54"/>
      <c r="S18" s="54"/>
      <c r="T18" s="54"/>
      <c r="U18" s="54"/>
      <c r="V18" s="62"/>
      <c r="W18" s="277">
        <f>SUMIF(Tabelle7[Beleg geprüft
(j)],"j",Tabelle7[anerkannter Betrag nach Prüfung der Endabrechnung])</f>
        <v>0</v>
      </c>
      <c r="X18" s="51"/>
      <c r="Y18" s="51"/>
      <c r="Z18" s="52"/>
      <c r="AA18" s="52"/>
      <c r="AB18" s="52"/>
      <c r="AC18" s="52"/>
      <c r="AD18" s="52"/>
      <c r="AE18" s="52"/>
      <c r="AF18" s="48"/>
      <c r="AG18" s="53"/>
    </row>
    <row r="19" spans="2:33" ht="14.15" customHeight="1" x14ac:dyDescent="0.35">
      <c r="B19" s="45"/>
      <c r="C19" s="153"/>
      <c r="D19" s="154"/>
      <c r="E19" s="153"/>
      <c r="F19" s="153"/>
      <c r="G19" s="153"/>
      <c r="H19" s="153"/>
      <c r="I19" s="61"/>
      <c r="J19" s="61"/>
      <c r="K19" s="61"/>
      <c r="L19" s="61"/>
      <c r="M19" s="61"/>
      <c r="N19" s="158"/>
      <c r="O19" s="158"/>
      <c r="P19" s="158"/>
      <c r="Q19" s="158"/>
      <c r="R19" s="158"/>
      <c r="S19" s="158"/>
      <c r="T19" s="158"/>
      <c r="U19" s="158"/>
      <c r="V19" s="156"/>
      <c r="W19" s="155"/>
      <c r="X19" s="156"/>
      <c r="Y19" s="156"/>
      <c r="Z19" s="157"/>
      <c r="AA19" s="52"/>
      <c r="AB19" s="52"/>
      <c r="AC19" s="52"/>
      <c r="AD19" s="52"/>
      <c r="AE19" s="52"/>
      <c r="AF19" s="48"/>
      <c r="AG19" s="53"/>
    </row>
    <row r="20" spans="2:33" ht="14.15" customHeight="1" x14ac:dyDescent="0.35">
      <c r="B20" s="45"/>
      <c r="C20" s="81"/>
      <c r="D20" s="154"/>
      <c r="E20" s="81"/>
      <c r="F20" s="81"/>
      <c r="G20" s="81"/>
      <c r="H20" s="81"/>
      <c r="I20" s="81"/>
      <c r="J20" s="270"/>
      <c r="K20" s="270"/>
      <c r="L20" s="270"/>
      <c r="M20" s="81"/>
      <c r="N20" s="322"/>
      <c r="O20" s="577"/>
      <c r="P20" s="578"/>
      <c r="Q20" s="578"/>
      <c r="R20" s="159" t="s">
        <v>140</v>
      </c>
      <c r="S20" s="159" t="s">
        <v>142</v>
      </c>
      <c r="T20" s="159" t="s">
        <v>141</v>
      </c>
      <c r="U20" s="159" t="s">
        <v>143</v>
      </c>
      <c r="V20" s="159" t="s">
        <v>144</v>
      </c>
      <c r="W20" s="159" t="s">
        <v>198</v>
      </c>
      <c r="X20" s="159" t="s">
        <v>199</v>
      </c>
      <c r="Y20" s="81"/>
      <c r="Z20" s="81"/>
      <c r="AA20" s="81"/>
      <c r="AB20" s="322"/>
      <c r="AC20" s="322"/>
      <c r="AD20" s="322"/>
      <c r="AE20" s="322"/>
      <c r="AF20" s="48"/>
    </row>
    <row r="21" spans="2:33" ht="14.15" customHeight="1" x14ac:dyDescent="0.35">
      <c r="B21" s="45"/>
      <c r="C21" s="81"/>
      <c r="D21" s="154"/>
      <c r="E21" s="81"/>
      <c r="F21" s="81"/>
      <c r="G21" s="81"/>
      <c r="H21" s="81"/>
      <c r="I21" s="81"/>
      <c r="J21" s="270"/>
      <c r="K21" s="270"/>
      <c r="L21" s="270"/>
      <c r="M21" s="81"/>
      <c r="N21" s="323">
        <v>1</v>
      </c>
      <c r="O21" s="524" t="str">
        <f>Eingabe!H$18&amp;": "&amp;Eingabe!H$19</f>
        <v>Maßnahme 1: Titel</v>
      </c>
      <c r="P21" s="524"/>
      <c r="Q21" s="524"/>
      <c r="R21" s="151">
        <f>ROUND(SUMIFS(Tabelle7[Betrag Abrechnungs-zeitraum "A"
1. ZWB],Tabelle7[Maß-nahme], $N21),2)</f>
        <v>0</v>
      </c>
      <c r="S21" s="151">
        <f>ROUND(SUMIFS(Tabelle7[Betrag Abrechnungs-zeitraum "B"
2. ZWB], Tabelle7[Maß-nahme], $N21),2)</f>
        <v>0</v>
      </c>
      <c r="T21" s="151">
        <f>ROUND(SUMIFS(Tabelle7[Betrag Abrechnungs-zeitraum "C"
3. ZWB],Tabelle7[Maß-nahme], $N21),2)</f>
        <v>0</v>
      </c>
      <c r="U21" s="151">
        <f>ROUND(SUMIFS(Tabelle7[Betrag Abrechnungs-zeitraum "D"
Endbericht], Tabelle7[Maß-nahme], $N21),2)</f>
        <v>0</v>
      </c>
      <c r="V21" s="306">
        <f>ROUND(SUMIF(Tabelle7[Maß-nahme],"1",Tabelle7[Betrag
Gesamt]),2)</f>
        <v>0</v>
      </c>
      <c r="W21" s="305">
        <f>IF(Eingabe!$Q$45="ja",ROUND(SUMIF(Tabelle7[Maß-nahme],"1",Tabelle7[anerkannter Betrag nach Prüfung der Endabrechnung]),2),Overview!$AA$15)</f>
        <v>0</v>
      </c>
      <c r="X21" s="305">
        <f>IF(Eingabe!$Q$45="ja",SUMIF(Tabelle7[Maß-nahme],"1",Tabelle7[aberkannter Betrag nach Prüfung der Endabrechnung])-SUMIF(Tabelle7[Maß-nahme],"1",Tabelle7[Betrag der Änderung der Aberkennung 
(+ entspricht Zuerkennung)]),Overview!$AA$15)</f>
        <v>0</v>
      </c>
      <c r="Y21" s="81"/>
      <c r="Z21" s="81"/>
      <c r="AA21" s="81"/>
      <c r="AB21" s="322"/>
      <c r="AC21" s="322"/>
      <c r="AD21" s="322"/>
      <c r="AE21" s="322"/>
      <c r="AF21" s="48"/>
    </row>
    <row r="22" spans="2:33" ht="14.15" customHeight="1" x14ac:dyDescent="0.35">
      <c r="B22" s="45"/>
      <c r="C22" s="81"/>
      <c r="D22" s="154"/>
      <c r="E22" s="81"/>
      <c r="F22" s="81"/>
      <c r="G22" s="81"/>
      <c r="H22" s="81"/>
      <c r="I22" s="81"/>
      <c r="J22" s="270"/>
      <c r="K22" s="270"/>
      <c r="L22" s="270"/>
      <c r="M22" s="81"/>
      <c r="N22" s="323">
        <v>2</v>
      </c>
      <c r="O22" s="524" t="str">
        <f>Eingabe!I$18&amp;": "&amp;Eingabe!I$19</f>
        <v>Maßnahme 2: keine</v>
      </c>
      <c r="P22" s="524"/>
      <c r="Q22" s="524"/>
      <c r="R22" s="151">
        <f>ROUND(SUMIFS(Tabelle7[Betrag Abrechnungs-zeitraum "A"
1. ZWB],Tabelle7[Maß-nahme], $N22),2)</f>
        <v>0</v>
      </c>
      <c r="S22" s="151">
        <f>ROUND(SUMIFS(Tabelle7[Betrag Abrechnungs-zeitraum "B"
2. ZWB], Tabelle7[Maß-nahme], $N22),2)</f>
        <v>0</v>
      </c>
      <c r="T22" s="151">
        <f>ROUND(SUMIFS(Tabelle7[Betrag Abrechnungs-zeitraum "C"
3. ZWB],Tabelle7[Maß-nahme], $N22),2)</f>
        <v>0</v>
      </c>
      <c r="U22" s="151">
        <f>ROUND(SUMIFS(Tabelle7[Betrag Abrechnungs-zeitraum "D"
Endbericht], Tabelle7[Maß-nahme], $N22),2)</f>
        <v>0</v>
      </c>
      <c r="V22" s="306">
        <f>ROUND(SUMIF(Tabelle7[Maß-nahme],"2",Tabelle7[Betrag
Gesamt]),2)</f>
        <v>0</v>
      </c>
      <c r="W22" s="305">
        <f>IF(Eingabe!$Q$45="ja",ROUND(SUMIF(Tabelle7[Maß-nahme],"2",Tabelle7[anerkannter Betrag nach Prüfung der Endabrechnung]),2),Overview!$AA$15)</f>
        <v>0</v>
      </c>
      <c r="X22" s="305">
        <f>IF(Eingabe!$Q$45="ja",SUMIF(Tabelle7[Maß-nahme],"2",Tabelle7[aberkannter Betrag nach Prüfung der Endabrechnung])-SUMIF(Tabelle7[Maß-nahme],"1",Tabelle7[Betrag der Änderung der Aberkennung 
(+ entspricht Zuerkennung)]),Overview!$AA$15)</f>
        <v>0</v>
      </c>
      <c r="Y22" s="81"/>
      <c r="Z22" s="81"/>
      <c r="AA22" s="81"/>
      <c r="AB22" s="322"/>
      <c r="AC22" s="322"/>
      <c r="AD22" s="322"/>
      <c r="AE22" s="322"/>
      <c r="AF22" s="48"/>
    </row>
    <row r="23" spans="2:33" ht="14.15" customHeight="1" x14ac:dyDescent="0.35">
      <c r="B23" s="45"/>
      <c r="C23" s="81"/>
      <c r="D23" s="154"/>
      <c r="E23" s="81"/>
      <c r="F23" s="81"/>
      <c r="G23" s="81"/>
      <c r="H23" s="81"/>
      <c r="I23" s="81"/>
      <c r="J23" s="270"/>
      <c r="K23" s="270"/>
      <c r="L23" s="270"/>
      <c r="M23" s="81"/>
      <c r="N23" s="323">
        <v>3</v>
      </c>
      <c r="O23" s="524" t="str">
        <f>Eingabe!J$18&amp;": "&amp;Eingabe!J$19</f>
        <v>Maßnahme 3: keine</v>
      </c>
      <c r="P23" s="524"/>
      <c r="Q23" s="524"/>
      <c r="R23" s="151">
        <f>ROUND(SUMIFS(Tabelle7[Betrag Abrechnungs-zeitraum "A"
1. ZWB],Tabelle7[Maß-nahme], $N23),2)</f>
        <v>0</v>
      </c>
      <c r="S23" s="151">
        <f>ROUND(SUMIFS(Tabelle7[Betrag Abrechnungs-zeitraum "B"
2. ZWB], Tabelle7[Maß-nahme], $N23),2)</f>
        <v>0</v>
      </c>
      <c r="T23" s="151">
        <f>ROUND(SUMIFS(Tabelle7[Betrag Abrechnungs-zeitraum "C"
3. ZWB],Tabelle7[Maß-nahme], $N23),2)</f>
        <v>0</v>
      </c>
      <c r="U23" s="151">
        <f>ROUND(SUMIFS(Tabelle7[Betrag Abrechnungs-zeitraum "D"
Endbericht], Tabelle7[Maß-nahme], $N23),2)</f>
        <v>0</v>
      </c>
      <c r="V23" s="306">
        <f>ROUND(SUMIF(Tabelle7[Maß-nahme],"3",Tabelle7[Betrag
Gesamt]),2)</f>
        <v>0</v>
      </c>
      <c r="W23" s="305">
        <f>IF(Eingabe!$Q$45="ja",ROUND(SUMIF(Tabelle7[Maß-nahme],"3",Tabelle7[anerkannter Betrag nach Prüfung der Endabrechnung]),2),Overview!$AA$15)</f>
        <v>0</v>
      </c>
      <c r="X23" s="305">
        <f>IF(Eingabe!$Q$45="ja",SUMIF(Tabelle7[Maß-nahme],"3",Tabelle7[aberkannter Betrag nach Prüfung der Endabrechnung])-SUMIF(Tabelle7[Maß-nahme],"1",Tabelle7[Betrag der Änderung der Aberkennung 
(+ entspricht Zuerkennung)]),Overview!$AA$15)</f>
        <v>0</v>
      </c>
      <c r="Y23" s="81"/>
      <c r="Z23" s="81"/>
      <c r="AA23" s="81"/>
      <c r="AB23" s="322"/>
      <c r="AC23" s="322"/>
      <c r="AD23" s="322"/>
      <c r="AE23" s="322"/>
      <c r="AF23" s="48"/>
    </row>
    <row r="24" spans="2:33" ht="14.15" customHeight="1" x14ac:dyDescent="0.35">
      <c r="B24" s="45"/>
      <c r="C24" s="81"/>
      <c r="D24" s="154"/>
      <c r="E24" s="81"/>
      <c r="F24" s="81"/>
      <c r="G24" s="81"/>
      <c r="H24" s="81"/>
      <c r="I24" s="81"/>
      <c r="J24" s="270"/>
      <c r="K24" s="270"/>
      <c r="L24" s="270"/>
      <c r="M24" s="81"/>
      <c r="N24" s="323">
        <v>4</v>
      </c>
      <c r="O24" s="524" t="str">
        <f>Eingabe!K$18&amp;": "&amp;Eingabe!K$19</f>
        <v>Maßnahme 4: keine</v>
      </c>
      <c r="P24" s="524"/>
      <c r="Q24" s="524"/>
      <c r="R24" s="151">
        <f>ROUND(SUMIFS(Tabelle7[Betrag Abrechnungs-zeitraum "A"
1. ZWB],Tabelle7[Maß-nahme], $N24),2)</f>
        <v>0</v>
      </c>
      <c r="S24" s="151">
        <f>ROUND(SUMIFS(Tabelle7[Betrag Abrechnungs-zeitraum "B"
2. ZWB], Tabelle7[Maß-nahme], $N24),2)</f>
        <v>0</v>
      </c>
      <c r="T24" s="151">
        <f>ROUND(SUMIFS(Tabelle7[Betrag Abrechnungs-zeitraum "C"
3. ZWB],Tabelle7[Maß-nahme], $N24),2)</f>
        <v>0</v>
      </c>
      <c r="U24" s="151">
        <f>ROUND(SUMIFS(Tabelle7[Betrag Abrechnungs-zeitraum "D"
Endbericht], Tabelle7[Maß-nahme], $N24),2)</f>
        <v>0</v>
      </c>
      <c r="V24" s="306">
        <f>ROUND(SUMIF(Tabelle7[Maß-nahme],"4",Tabelle7[Betrag
Gesamt]),2)</f>
        <v>0</v>
      </c>
      <c r="W24" s="305">
        <f>IF(Eingabe!$Q$45="ja",ROUND(SUMIF(Tabelle7[Maß-nahme],"4",Tabelle7[anerkannter Betrag nach Prüfung der Endabrechnung]),2),Overview!$AA$15)</f>
        <v>0</v>
      </c>
      <c r="X24" s="305">
        <f>IF(Eingabe!$Q$45="ja",SUMIF(Tabelle7[Maß-nahme],"4",Tabelle7[aberkannter Betrag nach Prüfung der Endabrechnung])-SUMIF(Tabelle7[Maß-nahme],"1",Tabelle7[Betrag der Änderung der Aberkennung 
(+ entspricht Zuerkennung)]),Overview!$AA$15)</f>
        <v>0</v>
      </c>
      <c r="Y24" s="81"/>
      <c r="Z24" s="81"/>
      <c r="AA24" s="81"/>
      <c r="AB24" s="322"/>
      <c r="AC24" s="322"/>
      <c r="AD24" s="322"/>
      <c r="AE24" s="322"/>
      <c r="AF24" s="48"/>
    </row>
    <row r="25" spans="2:33" ht="14.15" customHeight="1" x14ac:dyDescent="0.35">
      <c r="B25" s="45"/>
      <c r="C25" s="81"/>
      <c r="D25" s="154"/>
      <c r="E25" s="81"/>
      <c r="F25" s="81"/>
      <c r="G25" s="81"/>
      <c r="H25" s="81"/>
      <c r="I25" s="81"/>
      <c r="J25" s="270"/>
      <c r="K25" s="270"/>
      <c r="L25" s="270"/>
      <c r="M25" s="81"/>
      <c r="N25" s="323">
        <v>5</v>
      </c>
      <c r="O25" s="524" t="str">
        <f>Eingabe!L$18&amp;": "&amp;Eingabe!L$19</f>
        <v>Maßnahme 5: keine</v>
      </c>
      <c r="P25" s="524"/>
      <c r="Q25" s="524"/>
      <c r="R25" s="151">
        <f>ROUND(SUMIFS(Tabelle7[Betrag Abrechnungs-zeitraum "A"
1. ZWB],Tabelle7[Maß-nahme], $N25),2)</f>
        <v>0</v>
      </c>
      <c r="S25" s="151">
        <f>ROUND(SUMIFS(Tabelle7[Betrag Abrechnungs-zeitraum "B"
2. ZWB], Tabelle7[Maß-nahme], $N25),2)</f>
        <v>0</v>
      </c>
      <c r="T25" s="151">
        <f>ROUND(SUMIFS(Tabelle7[Betrag Abrechnungs-zeitraum "C"
3. ZWB],Tabelle7[Maß-nahme], $N25),2)</f>
        <v>0</v>
      </c>
      <c r="U25" s="151">
        <f>ROUND(SUMIFS(Tabelle7[Betrag Abrechnungs-zeitraum "D"
Endbericht], Tabelle7[Maß-nahme], $N25),2)</f>
        <v>0</v>
      </c>
      <c r="V25" s="306">
        <f>ROUND(SUMIF(Tabelle7[Maß-nahme],"5",Tabelle7[Betrag
Gesamt]),2)</f>
        <v>0</v>
      </c>
      <c r="W25" s="305">
        <f>IF(Eingabe!$Q$45="ja",ROUND(SUMIF(Tabelle7[Maß-nahme],"5",Tabelle7[anerkannter Betrag nach Prüfung der Endabrechnung]),2),Overview!$AA$15)</f>
        <v>0</v>
      </c>
      <c r="X25" s="305">
        <f>IF(Eingabe!$Q$45="ja",SUMIF(Tabelle7[Maß-nahme],"5",Tabelle7[aberkannter Betrag nach Prüfung der Endabrechnung])-SUMIF(Tabelle7[Maß-nahme],"1",Tabelle7[Betrag der Änderung der Aberkennung 
(+ entspricht Zuerkennung)]),Overview!$AA$15)</f>
        <v>0</v>
      </c>
      <c r="Y25" s="81"/>
      <c r="Z25" s="81"/>
      <c r="AA25" s="81"/>
      <c r="AB25" s="322"/>
      <c r="AC25" s="322"/>
      <c r="AD25" s="322"/>
      <c r="AE25" s="322"/>
      <c r="AF25" s="48"/>
    </row>
    <row r="26" spans="2:33" ht="14.15" customHeight="1" x14ac:dyDescent="0.35">
      <c r="B26" s="45"/>
      <c r="C26" s="81"/>
      <c r="D26" s="154"/>
      <c r="E26" s="81"/>
      <c r="F26" s="81"/>
      <c r="G26" s="81"/>
      <c r="H26" s="81"/>
      <c r="I26" s="81"/>
      <c r="J26" s="270"/>
      <c r="K26" s="270"/>
      <c r="L26" s="270"/>
      <c r="M26" s="81"/>
      <c r="N26" s="323">
        <v>6</v>
      </c>
      <c r="O26" s="524" t="str">
        <f>Eingabe!M$18&amp;": "&amp;Eingabe!M$19</f>
        <v>Maßnahme 6: keine</v>
      </c>
      <c r="P26" s="524"/>
      <c r="Q26" s="524"/>
      <c r="R26" s="151">
        <f>ROUND(SUMIFS(Tabelle7[Betrag Abrechnungs-zeitraum "A"
1. ZWB],Tabelle7[Maß-nahme], $N26),2)</f>
        <v>0</v>
      </c>
      <c r="S26" s="151">
        <f>ROUND(SUMIFS(Tabelle7[Betrag Abrechnungs-zeitraum "B"
2. ZWB], Tabelle7[Maß-nahme], $N26),2)</f>
        <v>0</v>
      </c>
      <c r="T26" s="151">
        <f>ROUND(SUMIFS(Tabelle7[Betrag Abrechnungs-zeitraum "C"
3. ZWB],Tabelle7[Maß-nahme], $N26),2)</f>
        <v>0</v>
      </c>
      <c r="U26" s="151">
        <f>ROUND(SUMIFS(Tabelle7[Betrag Abrechnungs-zeitraum "D"
Endbericht], Tabelle7[Maß-nahme], $N26),2)</f>
        <v>0</v>
      </c>
      <c r="V26" s="306">
        <f>ROUND(SUMIF(Tabelle7[Maß-nahme],"6",Tabelle7[Betrag
Gesamt]),2)</f>
        <v>0</v>
      </c>
      <c r="W26" s="305">
        <f>IF(Eingabe!$Q$45="ja",ROUND(SUMIF(Tabelle7[Maß-nahme],"6",Tabelle7[anerkannter Betrag nach Prüfung der Endabrechnung]),2),Overview!$AA$15)</f>
        <v>0</v>
      </c>
      <c r="X26" s="305">
        <f>IF(Eingabe!$Q$45="ja",SUMIF(Tabelle7[Maß-nahme],"6",Tabelle7[aberkannter Betrag nach Prüfung der Endabrechnung])-SUMIF(Tabelle7[Maß-nahme],"1",Tabelle7[Betrag der Änderung der Aberkennung 
(+ entspricht Zuerkennung)]),Overview!$AA$15)</f>
        <v>0</v>
      </c>
      <c r="Y26" s="81"/>
      <c r="Z26" s="81"/>
      <c r="AA26" s="81"/>
      <c r="AB26" s="322"/>
      <c r="AC26" s="322"/>
      <c r="AD26" s="322"/>
      <c r="AE26" s="322"/>
      <c r="AF26" s="48"/>
    </row>
    <row r="27" spans="2:33" ht="14.15" customHeight="1" x14ac:dyDescent="0.35">
      <c r="B27" s="45"/>
      <c r="C27" s="81"/>
      <c r="D27" s="154"/>
      <c r="E27" s="81"/>
      <c r="F27" s="81"/>
      <c r="G27" s="81"/>
      <c r="H27" s="81"/>
      <c r="I27" s="81"/>
      <c r="J27" s="270"/>
      <c r="K27" s="270"/>
      <c r="L27" s="270"/>
      <c r="M27" s="81"/>
      <c r="N27" s="323">
        <v>7</v>
      </c>
      <c r="O27" s="524" t="str">
        <f>Eingabe!N$18&amp;": "&amp;Eingabe!N$19</f>
        <v>Maßnahme 7: keine</v>
      </c>
      <c r="P27" s="524"/>
      <c r="Q27" s="524"/>
      <c r="R27" s="151">
        <f>ROUND(SUMIFS(Tabelle7[Betrag Abrechnungs-zeitraum "A"
1. ZWB],Tabelle7[Maß-nahme], $N27),2)</f>
        <v>0</v>
      </c>
      <c r="S27" s="151">
        <f>ROUND(SUMIFS(Tabelle7[Betrag Abrechnungs-zeitraum "B"
2. ZWB], Tabelle7[Maß-nahme], $N27),2)</f>
        <v>0</v>
      </c>
      <c r="T27" s="151">
        <f>ROUND(SUMIFS(Tabelle7[Betrag Abrechnungs-zeitraum "C"
3. ZWB],Tabelle7[Maß-nahme], $N27),2)</f>
        <v>0</v>
      </c>
      <c r="U27" s="151">
        <f>ROUND(SUMIFS(Tabelle7[Betrag Abrechnungs-zeitraum "D"
Endbericht], Tabelle7[Maß-nahme], $N27),2)</f>
        <v>0</v>
      </c>
      <c r="V27" s="306">
        <f>ROUND(SUMIF(Tabelle7[Maß-nahme],"7",Tabelle7[Betrag
Gesamt]),2)</f>
        <v>0</v>
      </c>
      <c r="W27" s="305">
        <f>IF(Eingabe!$Q$45="ja",ROUND(SUMIF(Tabelle7[Maß-nahme],"7",Tabelle7[anerkannter Betrag nach Prüfung der Endabrechnung]),2),Overview!$AA$15)</f>
        <v>0</v>
      </c>
      <c r="X27" s="305">
        <f>IF(Eingabe!$Q$45="ja",SUMIF(Tabelle7[Maß-nahme],"7",Tabelle7[aberkannter Betrag nach Prüfung der Endabrechnung])-SUMIF(Tabelle7[Maß-nahme],"1",Tabelle7[Betrag der Änderung der Aberkennung 
(+ entspricht Zuerkennung)]),Overview!$AA$15)</f>
        <v>0</v>
      </c>
      <c r="Y27" s="81"/>
      <c r="Z27" s="81"/>
      <c r="AA27" s="81"/>
      <c r="AB27" s="322"/>
      <c r="AC27" s="322"/>
      <c r="AD27" s="322"/>
      <c r="AE27" s="322"/>
      <c r="AF27" s="48"/>
    </row>
    <row r="28" spans="2:33" ht="14.15" customHeight="1" x14ac:dyDescent="0.35">
      <c r="B28" s="45"/>
      <c r="C28" s="81"/>
      <c r="D28" s="154"/>
      <c r="E28" s="81"/>
      <c r="F28" s="81"/>
      <c r="G28" s="81"/>
      <c r="H28" s="81"/>
      <c r="I28" s="81"/>
      <c r="J28" s="270"/>
      <c r="K28" s="270"/>
      <c r="L28" s="270"/>
      <c r="M28" s="81"/>
      <c r="N28" s="323">
        <v>8</v>
      </c>
      <c r="O28" s="524" t="str">
        <f>Eingabe!O$18&amp;": "&amp;Eingabe!O$19</f>
        <v>Maßnahme 8: keine</v>
      </c>
      <c r="P28" s="524"/>
      <c r="Q28" s="524"/>
      <c r="R28" s="151">
        <f>ROUND(SUMIFS(Tabelle7[Betrag Abrechnungs-zeitraum "A"
1. ZWB],Tabelle7[Maß-nahme], $N28),2)</f>
        <v>0</v>
      </c>
      <c r="S28" s="151">
        <f>ROUND(SUMIFS(Tabelle7[Betrag Abrechnungs-zeitraum "B"
2. ZWB], Tabelle7[Maß-nahme], $N28),2)</f>
        <v>0</v>
      </c>
      <c r="T28" s="151">
        <f>ROUND(SUMIFS(Tabelle7[Betrag Abrechnungs-zeitraum "C"
3. ZWB],Tabelle7[Maß-nahme], $N28),2)</f>
        <v>0</v>
      </c>
      <c r="U28" s="151">
        <f>ROUND(SUMIFS(Tabelle7[Betrag Abrechnungs-zeitraum "D"
Endbericht], Tabelle7[Maß-nahme], $N28),2)</f>
        <v>0</v>
      </c>
      <c r="V28" s="306">
        <f>ROUND(SUMIF(Tabelle7[Maß-nahme],"8",Tabelle7[Betrag
Gesamt]),2)</f>
        <v>0</v>
      </c>
      <c r="W28" s="305">
        <f>IF(Eingabe!$Q$45="ja",ROUND(SUMIF(Tabelle7[Maß-nahme],"8",Tabelle7[anerkannter Betrag nach Prüfung der Endabrechnung]),2),Overview!$AA$15)</f>
        <v>0</v>
      </c>
      <c r="X28" s="305">
        <f>IF(Eingabe!$Q$45="ja",SUMIF(Tabelle7[Maß-nahme],"8",Tabelle7[aberkannter Betrag nach Prüfung der Endabrechnung])-SUMIF(Tabelle7[Maß-nahme],"1",Tabelle7[Betrag der Änderung der Aberkennung 
(+ entspricht Zuerkennung)]),Overview!$AA$15)</f>
        <v>0</v>
      </c>
      <c r="Y28" s="81"/>
      <c r="Z28" s="81"/>
      <c r="AA28" s="81"/>
      <c r="AB28" s="322"/>
      <c r="AC28" s="322"/>
      <c r="AD28" s="322"/>
      <c r="AE28" s="322"/>
      <c r="AF28" s="48"/>
    </row>
    <row r="29" spans="2:33" ht="14.15" customHeight="1" x14ac:dyDescent="0.35">
      <c r="B29" s="45"/>
      <c r="C29" s="81"/>
      <c r="D29" s="154"/>
      <c r="E29" s="81"/>
      <c r="F29" s="81"/>
      <c r="G29" s="81"/>
      <c r="H29" s="81"/>
      <c r="I29" s="81"/>
      <c r="J29" s="270"/>
      <c r="K29" s="270"/>
      <c r="L29" s="270"/>
      <c r="M29" s="81"/>
      <c r="N29" s="323">
        <v>9</v>
      </c>
      <c r="O29" s="524" t="str">
        <f>Eingabe!P$18&amp;": "&amp;Eingabe!P$19</f>
        <v>Maßnahme 9: keine</v>
      </c>
      <c r="P29" s="524"/>
      <c r="Q29" s="524"/>
      <c r="R29" s="151">
        <f>ROUND(SUMIFS(Tabelle7[Betrag Abrechnungs-zeitraum "A"
1. ZWB],Tabelle7[Maß-nahme], $N29),2)</f>
        <v>0</v>
      </c>
      <c r="S29" s="151">
        <f>ROUND(SUMIFS(Tabelle7[Betrag Abrechnungs-zeitraum "B"
2. ZWB], Tabelle7[Maß-nahme], $N29),2)</f>
        <v>0</v>
      </c>
      <c r="T29" s="151">
        <f>ROUND(SUMIFS(Tabelle7[Betrag Abrechnungs-zeitraum "C"
3. ZWB],Tabelle7[Maß-nahme], $N29),2)</f>
        <v>0</v>
      </c>
      <c r="U29" s="151">
        <f>ROUND(SUMIFS(Tabelle7[Betrag Abrechnungs-zeitraum "D"
Endbericht], Tabelle7[Maß-nahme], $N29),2)</f>
        <v>0</v>
      </c>
      <c r="V29" s="306">
        <f>ROUND(SUMIF(Tabelle7[Maß-nahme],"9",Tabelle7[Betrag
Gesamt]),2)</f>
        <v>0</v>
      </c>
      <c r="W29" s="305">
        <f>IF(Eingabe!$Q$45="ja",ROUND(SUMIF(Tabelle7[Maß-nahme],"9",Tabelle7[anerkannter Betrag nach Prüfung der Endabrechnung]),2),Overview!$AA$15)</f>
        <v>0</v>
      </c>
      <c r="X29" s="305">
        <f>IF(Eingabe!$Q$45="ja",SUMIF(Tabelle7[Maß-nahme],"9",Tabelle7[aberkannter Betrag nach Prüfung der Endabrechnung])-SUMIF(Tabelle7[Maß-nahme],"1",Tabelle7[Betrag der Änderung der Aberkennung 
(+ entspricht Zuerkennung)]),Overview!$AA$15)</f>
        <v>0</v>
      </c>
      <c r="Y29" s="81"/>
      <c r="Z29" s="81"/>
      <c r="AA29" s="81"/>
      <c r="AB29" s="322"/>
      <c r="AC29" s="322"/>
      <c r="AD29" s="322"/>
      <c r="AE29" s="322"/>
      <c r="AF29" s="48"/>
    </row>
    <row r="30" spans="2:33" ht="14.15" customHeight="1" x14ac:dyDescent="0.35">
      <c r="B30" s="45"/>
      <c r="C30" s="81"/>
      <c r="D30" s="154"/>
      <c r="E30" s="81"/>
      <c r="F30" s="81"/>
      <c r="G30" s="81"/>
      <c r="H30" s="81"/>
      <c r="I30" s="81"/>
      <c r="J30" s="270"/>
      <c r="K30" s="270"/>
      <c r="L30" s="270"/>
      <c r="M30" s="81"/>
      <c r="N30" s="323">
        <v>10</v>
      </c>
      <c r="O30" s="524" t="str">
        <f>Eingabe!Q$18&amp;": "&amp;Eingabe!Q$19</f>
        <v>Maßnahme 10: keine</v>
      </c>
      <c r="P30" s="524"/>
      <c r="Q30" s="524"/>
      <c r="R30" s="151">
        <f>ROUND(SUMIFS(Tabelle7[Betrag Abrechnungs-zeitraum "A"
1. ZWB],Tabelle7[Maß-nahme], $N30),2)</f>
        <v>0</v>
      </c>
      <c r="S30" s="151">
        <f>ROUND(SUMIFS(Tabelle7[Betrag Abrechnungs-zeitraum "B"
2. ZWB], Tabelle7[Maß-nahme], $N30),2)</f>
        <v>0</v>
      </c>
      <c r="T30" s="151">
        <f>ROUND(SUMIFS(Tabelle7[Betrag Abrechnungs-zeitraum "C"
3. ZWB],Tabelle7[Maß-nahme], $N30),2)</f>
        <v>0</v>
      </c>
      <c r="U30" s="151">
        <f>ROUND(SUMIFS(Tabelle7[Betrag Abrechnungs-zeitraum "D"
Endbericht], Tabelle7[Maß-nahme], $N30),2)</f>
        <v>0</v>
      </c>
      <c r="V30" s="306">
        <f>ROUND(SUMIF(Tabelle7[Maß-nahme],"10",Tabelle7[Betrag
Gesamt]),2)</f>
        <v>0</v>
      </c>
      <c r="W30" s="305">
        <f>IF(Eingabe!$Q$45="ja",ROUND(SUMIF(Tabelle7[Maß-nahme],"10",Tabelle7[anerkannter Betrag nach Prüfung der Endabrechnung]),2),Overview!$AA$15)</f>
        <v>0</v>
      </c>
      <c r="X30" s="305">
        <f>IF(Eingabe!$Q$45="ja",SUMIF(Tabelle7[Maß-nahme],"10",Tabelle7[aberkannter Betrag nach Prüfung der Endabrechnung])-SUMIF(Tabelle7[Maß-nahme],"1",Tabelle7[Betrag der Änderung der Aberkennung 
(+ entspricht Zuerkennung)]),Overview!$AA$15)</f>
        <v>0</v>
      </c>
      <c r="Y30" s="81"/>
      <c r="Z30" s="81"/>
      <c r="AA30" s="81"/>
      <c r="AB30" s="322"/>
      <c r="AC30" s="322"/>
      <c r="AD30" s="322"/>
      <c r="AE30" s="322"/>
      <c r="AF30" s="48"/>
    </row>
    <row r="31" spans="2:33" ht="14.15" customHeight="1" x14ac:dyDescent="0.35">
      <c r="B31" s="45"/>
      <c r="C31" s="154"/>
      <c r="D31" s="154"/>
      <c r="E31" s="154"/>
      <c r="F31" s="154"/>
      <c r="G31" s="154"/>
      <c r="H31" s="154"/>
      <c r="I31" s="154"/>
      <c r="J31" s="270"/>
      <c r="K31" s="270"/>
      <c r="L31" s="270"/>
      <c r="M31" s="154"/>
      <c r="N31" s="322"/>
      <c r="O31" s="582" t="s">
        <v>145</v>
      </c>
      <c r="P31" s="582"/>
      <c r="Q31" s="582"/>
      <c r="R31" s="306">
        <f>SUM(R21:R30)</f>
        <v>0</v>
      </c>
      <c r="S31" s="306">
        <f t="shared" ref="S31:U31" si="6">SUM(S21:S30)</f>
        <v>0</v>
      </c>
      <c r="T31" s="306">
        <f t="shared" si="6"/>
        <v>0</v>
      </c>
      <c r="U31" s="306">
        <f t="shared" si="6"/>
        <v>0</v>
      </c>
      <c r="V31" s="306">
        <f>SUM(V21:V30)</f>
        <v>0</v>
      </c>
      <c r="W31" s="306">
        <f>IF(Eingabe!$Q$45="ja",SUM(Tabelle7[anerkannter Betrag nach Prüfung der Endabrechnung]),Overview!$AA$15)</f>
        <v>0</v>
      </c>
      <c r="X31" s="306">
        <f>IF(Eingabe!$Q$45="ja",SUM(Tabelle7[aberkannter Betrag nach Prüfung der Endabrechnung])-SUM(Tabelle7[Betrag der Änderung der Aberkennung 
(+ entspricht Zuerkennung)]),Overview!$AA$15)</f>
        <v>0</v>
      </c>
      <c r="Y31" s="154"/>
      <c r="Z31" s="154"/>
      <c r="AA31" s="154"/>
      <c r="AB31" s="322"/>
      <c r="AC31" s="322"/>
      <c r="AD31" s="322"/>
      <c r="AE31" s="322"/>
      <c r="AF31" s="48"/>
    </row>
    <row r="32" spans="2:33" ht="18.75" customHeight="1" x14ac:dyDescent="0.3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7"/>
    </row>
  </sheetData>
  <sheetProtection password="FFFD" sheet="1" insertRows="0"/>
  <protectedRanges>
    <protectedRange password="CDD2" sqref="W8:W17 Y8:AA17 AC8:AD17" name="Prüfung"/>
  </protectedRanges>
  <mergeCells count="25">
    <mergeCell ref="C3:G3"/>
    <mergeCell ref="W5:AE5"/>
    <mergeCell ref="C5:V5"/>
    <mergeCell ref="W6:AA6"/>
    <mergeCell ref="AA3:AB3"/>
    <mergeCell ref="AC3:AD3"/>
    <mergeCell ref="AC6:AD6"/>
    <mergeCell ref="H3:I3"/>
    <mergeCell ref="M3:N3"/>
    <mergeCell ref="W3:Z3"/>
    <mergeCell ref="O6:Q6"/>
    <mergeCell ref="D6:N6"/>
    <mergeCell ref="O31:Q31"/>
    <mergeCell ref="O30:Q30"/>
    <mergeCell ref="O29:Q29"/>
    <mergeCell ref="O28:Q28"/>
    <mergeCell ref="O27:Q27"/>
    <mergeCell ref="O21:Q21"/>
    <mergeCell ref="O20:Q20"/>
    <mergeCell ref="R6:V6"/>
    <mergeCell ref="O26:Q26"/>
    <mergeCell ref="O25:Q25"/>
    <mergeCell ref="O24:Q24"/>
    <mergeCell ref="O23:Q23"/>
    <mergeCell ref="O22:Q22"/>
  </mergeCells>
  <conditionalFormatting sqref="O8:Q17 W8:W17">
    <cfRule type="containsText" dxfId="258" priority="7" operator="containsText" text="j">
      <formula>NOT(ISERROR(SEARCH("j",O8)))</formula>
    </cfRule>
  </conditionalFormatting>
  <conditionalFormatting sqref="P8:P17">
    <cfRule type="expression" dxfId="257" priority="6">
      <formula>AND(O8="j",NOT(P8="j"))</formula>
    </cfRule>
  </conditionalFormatting>
  <conditionalFormatting sqref="Q8:Q17">
    <cfRule type="expression" dxfId="256" priority="5">
      <formula>AND(O8="j",NOT(Q8="j"))</formula>
    </cfRule>
  </conditionalFormatting>
  <conditionalFormatting sqref="E8:E17">
    <cfRule type="expression" dxfId="255" priority="2">
      <formula>AND(NOT(E8=1),NOT(E8=2),NOT(E8=3),NOT(E8=4),NOT(E8=5),NOT(E8=6),NOT(E8=7),NOT(E8=8),NOT(E8=9),NOT(E8=10),NOT(V8=0))</formula>
    </cfRule>
  </conditionalFormatting>
  <conditionalFormatting sqref="AA8:AA17">
    <cfRule type="containsText" dxfId="254" priority="1" operator="containsText" text="j">
      <formula>NOT(ISERROR(SEARCH("j",AA8)))</formula>
    </cfRule>
  </conditionalFormatting>
  <pageMargins left="0.25" right="0.25" top="0.75" bottom="0.75" header="0.3" footer="0.3"/>
  <pageSetup paperSize="9" scale="24" fitToHeight="0"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FBCE3FD9-1001-45AD-AA78-466B901B1421}">
            <xm:f>AND(Eingabe!$Q$45="ja",O8="j",NOT(W8="j"))</xm:f>
            <x14:dxf>
              <fill>
                <patternFill>
                  <bgColor theme="5" tint="0.59996337778862885"/>
                </patternFill>
              </fill>
            </x14:dxf>
          </x14:cfRule>
          <xm:sqref>W8:W17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2:AG32"/>
  <sheetViews>
    <sheetView showGridLines="0" zoomScale="85" zoomScaleNormal="85" workbookViewId="0">
      <selection activeCell="F11" sqref="F11"/>
    </sheetView>
  </sheetViews>
  <sheetFormatPr baseColWidth="10" defaultColWidth="11.453125" defaultRowHeight="13" x14ac:dyDescent="0.35"/>
  <cols>
    <col min="1" max="2" width="2.54296875" style="44" customWidth="1"/>
    <col min="3" max="3" width="8.453125" style="44" customWidth="1"/>
    <col min="4" max="4" width="10.6328125" style="44" customWidth="1"/>
    <col min="5" max="5" width="8.453125" style="44" customWidth="1"/>
    <col min="6" max="6" width="35.90625" style="44" customWidth="1"/>
    <col min="7" max="7" width="37.453125" style="44" customWidth="1"/>
    <col min="8" max="8" width="15.90625" style="44" customWidth="1"/>
    <col min="9" max="13" width="13.6328125" style="44" customWidth="1"/>
    <col min="14" max="14" width="60.90625" style="44" customWidth="1"/>
    <col min="15" max="25" width="14.6328125" style="44" customWidth="1"/>
    <col min="26" max="26" width="45.54296875" style="44" customWidth="1"/>
    <col min="27" max="27" width="10.54296875" style="44" customWidth="1"/>
    <col min="28" max="28" width="45.54296875" style="44" customWidth="1"/>
    <col min="29" max="29" width="20.54296875" style="44" customWidth="1"/>
    <col min="30" max="30" width="45.54296875" style="44" customWidth="1"/>
    <col min="31" max="31" width="9.453125" style="44" customWidth="1"/>
    <col min="32" max="32" width="2.54296875" style="44" customWidth="1"/>
    <col min="33" max="16384" width="11.453125" style="44"/>
  </cols>
  <sheetData>
    <row r="2" spans="2:32" ht="18.75" customHeight="1" x14ac:dyDescent="0.35">
      <c r="B2" s="40"/>
      <c r="C2" s="41"/>
      <c r="D2" s="41"/>
      <c r="E2" s="41"/>
      <c r="F2" s="41"/>
      <c r="G2" s="41"/>
      <c r="H2" s="41"/>
      <c r="I2" s="41"/>
      <c r="J2" s="41"/>
      <c r="K2" s="41"/>
      <c r="L2" s="41"/>
      <c r="M2" s="41"/>
      <c r="N2" s="41"/>
      <c r="O2" s="41"/>
      <c r="P2" s="41"/>
      <c r="Q2" s="41"/>
      <c r="R2" s="41"/>
      <c r="S2" s="41"/>
      <c r="T2" s="41"/>
      <c r="U2" s="41"/>
      <c r="V2" s="41"/>
      <c r="W2" s="41"/>
      <c r="X2" s="42"/>
      <c r="Y2" s="42"/>
      <c r="Z2" s="42"/>
      <c r="AA2" s="42"/>
      <c r="AB2" s="42"/>
      <c r="AC2" s="42"/>
      <c r="AD2" s="42"/>
      <c r="AE2" s="42"/>
      <c r="AF2" s="43"/>
    </row>
    <row r="3" spans="2:32" ht="22.5" customHeight="1" x14ac:dyDescent="0.35">
      <c r="B3" s="45"/>
      <c r="C3" s="583" t="s">
        <v>6</v>
      </c>
      <c r="D3" s="583"/>
      <c r="E3" s="583"/>
      <c r="F3" s="583"/>
      <c r="G3" s="583"/>
      <c r="H3" s="591"/>
      <c r="I3" s="591"/>
      <c r="J3" s="271"/>
      <c r="K3" s="271"/>
      <c r="L3" s="271"/>
      <c r="M3" s="592"/>
      <c r="N3" s="592"/>
      <c r="O3" s="46"/>
      <c r="P3" s="46"/>
      <c r="Q3" s="46"/>
      <c r="R3" s="46"/>
      <c r="S3" s="46"/>
      <c r="T3" s="46"/>
      <c r="U3" s="46"/>
      <c r="V3" s="46"/>
      <c r="W3" s="583"/>
      <c r="X3" s="583"/>
      <c r="Y3" s="583"/>
      <c r="Z3" s="583"/>
      <c r="AA3" s="591"/>
      <c r="AB3" s="591"/>
      <c r="AC3" s="592"/>
      <c r="AD3" s="592"/>
      <c r="AE3" s="161"/>
      <c r="AF3" s="48"/>
    </row>
    <row r="4" spans="2:32" ht="21.5" thickBot="1" x14ac:dyDescent="0.4">
      <c r="B4" s="45"/>
      <c r="C4" s="161"/>
      <c r="D4" s="161"/>
      <c r="E4" s="161"/>
      <c r="F4" s="161"/>
      <c r="G4" s="161"/>
      <c r="H4" s="161"/>
      <c r="I4" s="161"/>
      <c r="J4" s="270"/>
      <c r="K4" s="270"/>
      <c r="L4" s="270"/>
      <c r="M4" s="161"/>
      <c r="N4" s="161"/>
      <c r="O4" s="161"/>
      <c r="P4" s="161"/>
      <c r="Q4" s="161"/>
      <c r="R4" s="270"/>
      <c r="S4" s="270"/>
      <c r="T4" s="270"/>
      <c r="U4" s="270"/>
      <c r="V4" s="161"/>
      <c r="W4" s="161"/>
      <c r="X4" s="49"/>
      <c r="Y4" s="49"/>
      <c r="Z4" s="49"/>
      <c r="AA4" s="49"/>
      <c r="AB4" s="49"/>
      <c r="AC4" s="49"/>
      <c r="AD4" s="161"/>
      <c r="AE4" s="161"/>
      <c r="AF4" s="48"/>
    </row>
    <row r="5" spans="2:32" ht="15.75" customHeight="1" thickBot="1" x14ac:dyDescent="0.4">
      <c r="B5" s="45"/>
      <c r="C5" s="600" t="s">
        <v>146</v>
      </c>
      <c r="D5" s="587"/>
      <c r="E5" s="587"/>
      <c r="F5" s="587"/>
      <c r="G5" s="587"/>
      <c r="H5" s="587"/>
      <c r="I5" s="587"/>
      <c r="J5" s="587"/>
      <c r="K5" s="587"/>
      <c r="L5" s="587"/>
      <c r="M5" s="587"/>
      <c r="N5" s="587"/>
      <c r="O5" s="587"/>
      <c r="P5" s="587"/>
      <c r="Q5" s="587"/>
      <c r="R5" s="587"/>
      <c r="S5" s="587"/>
      <c r="T5" s="587"/>
      <c r="U5" s="587"/>
      <c r="V5" s="588"/>
      <c r="W5" s="584" t="str">
        <f>C5 &amp; " - Prüfung"</f>
        <v>a.2.) Freie Dienstnehmende - Prüfung</v>
      </c>
      <c r="X5" s="584"/>
      <c r="Y5" s="584"/>
      <c r="Z5" s="584"/>
      <c r="AA5" s="584"/>
      <c r="AB5" s="584"/>
      <c r="AC5" s="584"/>
      <c r="AD5" s="584"/>
      <c r="AE5" s="585"/>
      <c r="AF5" s="48"/>
    </row>
    <row r="6" spans="2:32" ht="15.75" customHeight="1" thickBot="1" x14ac:dyDescent="0.4">
      <c r="B6" s="45"/>
      <c r="C6" s="300"/>
      <c r="D6" s="603" t="s">
        <v>104</v>
      </c>
      <c r="E6" s="604"/>
      <c r="F6" s="604"/>
      <c r="G6" s="604"/>
      <c r="H6" s="604"/>
      <c r="I6" s="604"/>
      <c r="J6" s="604"/>
      <c r="K6" s="604"/>
      <c r="L6" s="604"/>
      <c r="M6" s="604"/>
      <c r="N6" s="604"/>
      <c r="O6" s="601" t="s">
        <v>133</v>
      </c>
      <c r="P6" s="601"/>
      <c r="Q6" s="602"/>
      <c r="R6" s="598" t="s">
        <v>104</v>
      </c>
      <c r="S6" s="599"/>
      <c r="T6" s="599"/>
      <c r="U6" s="599"/>
      <c r="V6" s="335"/>
      <c r="W6" s="589" t="s">
        <v>91</v>
      </c>
      <c r="X6" s="589"/>
      <c r="Y6" s="589"/>
      <c r="Z6" s="589"/>
      <c r="AA6" s="590"/>
      <c r="AB6" s="60" t="s">
        <v>90</v>
      </c>
      <c r="AC6" s="593" t="s">
        <v>91</v>
      </c>
      <c r="AD6" s="594"/>
      <c r="AE6" s="66"/>
      <c r="AF6" s="48"/>
    </row>
    <row r="7" spans="2:32" ht="60" customHeight="1" x14ac:dyDescent="0.35">
      <c r="B7" s="45"/>
      <c r="C7" s="72" t="s">
        <v>9</v>
      </c>
      <c r="D7" s="100" t="s">
        <v>77</v>
      </c>
      <c r="E7" s="100" t="s">
        <v>115</v>
      </c>
      <c r="F7" s="73" t="s">
        <v>100</v>
      </c>
      <c r="G7" s="73" t="s">
        <v>81</v>
      </c>
      <c r="H7" s="73" t="s">
        <v>212</v>
      </c>
      <c r="I7" s="73" t="s">
        <v>200</v>
      </c>
      <c r="J7" s="73" t="s">
        <v>189</v>
      </c>
      <c r="K7" s="73" t="s">
        <v>190</v>
      </c>
      <c r="L7" s="73" t="s">
        <v>191</v>
      </c>
      <c r="M7" s="73" t="s">
        <v>192</v>
      </c>
      <c r="N7" s="73" t="s">
        <v>47</v>
      </c>
      <c r="O7" s="79" t="s">
        <v>52</v>
      </c>
      <c r="P7" s="79" t="s">
        <v>154</v>
      </c>
      <c r="Q7" s="79" t="s">
        <v>61</v>
      </c>
      <c r="R7" s="73" t="s">
        <v>193</v>
      </c>
      <c r="S7" s="73" t="s">
        <v>194</v>
      </c>
      <c r="T7" s="73" t="s">
        <v>195</v>
      </c>
      <c r="U7" s="73" t="s">
        <v>196</v>
      </c>
      <c r="V7" s="324" t="s">
        <v>197</v>
      </c>
      <c r="W7" s="296" t="s">
        <v>59</v>
      </c>
      <c r="X7" s="279" t="s">
        <v>151</v>
      </c>
      <c r="Y7" s="280" t="s">
        <v>152</v>
      </c>
      <c r="Z7" s="281" t="s">
        <v>40</v>
      </c>
      <c r="AA7" s="282" t="s">
        <v>57</v>
      </c>
      <c r="AB7" s="283" t="s">
        <v>89</v>
      </c>
      <c r="AC7" s="280" t="s">
        <v>54</v>
      </c>
      <c r="AD7" s="281" t="s">
        <v>48</v>
      </c>
      <c r="AE7" s="59" t="s">
        <v>95</v>
      </c>
      <c r="AF7" s="48"/>
    </row>
    <row r="8" spans="2:32" ht="14.5" x14ac:dyDescent="0.35">
      <c r="B8" s="45"/>
      <c r="C8" s="92" t="str">
        <f>"a.2."&amp;ROW()-7</f>
        <v>a.2.1</v>
      </c>
      <c r="D8" s="93"/>
      <c r="E8" s="93"/>
      <c r="F8" s="93"/>
      <c r="G8" s="76"/>
      <c r="H8" s="94"/>
      <c r="I8" s="95"/>
      <c r="J8" s="95"/>
      <c r="K8" s="95"/>
      <c r="L8" s="95"/>
      <c r="M8" s="95"/>
      <c r="N8" s="76"/>
      <c r="O8" s="76"/>
      <c r="P8" s="76"/>
      <c r="Q8" s="76"/>
      <c r="R8" s="328">
        <f>IF(SUM(Tabelle75[[#This Row],[IST-Stunden Abrechnungs-zeitraum "A" 
(1. ZWB)]:[IST-Stunden Abrechnungs-zeitraum "D" 
(Endbericht)]])&gt;$I8,"zu viele Stunden im Projekt",ROUNDUP(IF($I8=0,0,$H8/$I8*J8),2))</f>
        <v>0</v>
      </c>
      <c r="S8" s="328">
        <f>IF(SUM(Tabelle75[[#This Row],[IST-Stunden Abrechnungs-zeitraum "A" 
(1. ZWB)]:[IST-Stunden Abrechnungs-zeitraum "D" 
(Endbericht)]])&gt;$I8,"zu viele Stunden im Projekt",ROUNDUP(IF($I8=0,0,$H8/$I8*K8),2))</f>
        <v>0</v>
      </c>
      <c r="T8" s="328">
        <f>IF(SUM(Tabelle75[[#This Row],[IST-Stunden Abrechnungs-zeitraum "A" 
(1. ZWB)]:[IST-Stunden Abrechnungs-zeitraum "D" 
(Endbericht)]])&gt;$I8,"zu viele Stunden im Projekt",ROUNDUP(IF($I8=0,0,$H8/$I8*L8),2))</f>
        <v>0</v>
      </c>
      <c r="U8" s="328">
        <f>IF(SUM(Tabelle75[[#This Row],[IST-Stunden Abrechnungs-zeitraum "A" 
(1. ZWB)]:[IST-Stunden Abrechnungs-zeitraum "D" 
(Endbericht)]])&gt;$I8,"zu viele Stunden im Projekt",ROUNDUP(IF($I8=0,0,$H8/$I8*M8),2))</f>
        <v>0</v>
      </c>
      <c r="V8" s="329">
        <f>Tabelle75[[#This Row],[Betrag Abrechnungs-zeitraum "A"
1. ZWB]]+Tabelle75[[#This Row],[Betrag Abrechnungs-zeitraum "B"
2. ZWB]]+Tabelle75[[#This Row],[Betrag Abrechnungs-zeitraum "C"
3. ZWB]]+Tabelle75[[#This Row],[Betrag Abrechnungs-zeitraum "D"
Endbericht]]</f>
        <v>0</v>
      </c>
      <c r="W8" s="297"/>
      <c r="X8" s="83">
        <f>IF(Eingabe!$Q$45="ja", V8-Y8+AC8,Overview!$AA$15)</f>
        <v>0</v>
      </c>
      <c r="Y8" s="84"/>
      <c r="Z8" s="85"/>
      <c r="AA8" s="86"/>
      <c r="AB8" s="87"/>
      <c r="AC8" s="82"/>
      <c r="AD8" s="85"/>
      <c r="AE8" s="285" t="str">
        <f t="shared" ref="AE8:AE17" si="0">C8</f>
        <v>a.2.1</v>
      </c>
      <c r="AF8" s="48"/>
    </row>
    <row r="9" spans="2:32" ht="14.5" x14ac:dyDescent="0.35">
      <c r="B9" s="45"/>
      <c r="C9" s="92" t="str">
        <f t="shared" ref="C9:C17" si="1">"a.2."&amp;ROW()-7</f>
        <v>a.2.2</v>
      </c>
      <c r="D9" s="93"/>
      <c r="E9" s="93"/>
      <c r="F9" s="93"/>
      <c r="G9" s="76"/>
      <c r="H9" s="94"/>
      <c r="I9" s="95"/>
      <c r="J9" s="95"/>
      <c r="K9" s="95"/>
      <c r="L9" s="95"/>
      <c r="M9" s="95"/>
      <c r="N9" s="76"/>
      <c r="O9" s="76"/>
      <c r="P9" s="76"/>
      <c r="Q9" s="76"/>
      <c r="R9" s="328">
        <f>IF(SUM(Tabelle75[[#This Row],[IST-Stunden Abrechnungs-zeitraum "A" 
(1. ZWB)]:[IST-Stunden Abrechnungs-zeitraum "D" 
(Endbericht)]])&gt;$I9,"zu viele Stunden im Projekt",ROUNDUP(IF($I9=0,0,$H9/$I9*J9),2))</f>
        <v>0</v>
      </c>
      <c r="S9" s="328">
        <f>IF(SUM(Tabelle75[[#This Row],[IST-Stunden Abrechnungs-zeitraum "A" 
(1. ZWB)]:[IST-Stunden Abrechnungs-zeitraum "D" 
(Endbericht)]])&gt;$I9,"zu viele Stunden im Projekt",ROUNDUP(IF($I9=0,0,$H9/$I9*K9),2))</f>
        <v>0</v>
      </c>
      <c r="T9" s="328">
        <f>IF(SUM(Tabelle75[[#This Row],[IST-Stunden Abrechnungs-zeitraum "A" 
(1. ZWB)]:[IST-Stunden Abrechnungs-zeitraum "D" 
(Endbericht)]])&gt;$I9,"zu viele Stunden im Projekt",ROUNDUP(IF($I9=0,0,$H9/$I9*L9),2))</f>
        <v>0</v>
      </c>
      <c r="U9" s="328">
        <f>IF(SUM(Tabelle75[[#This Row],[IST-Stunden Abrechnungs-zeitraum "A" 
(1. ZWB)]:[IST-Stunden Abrechnungs-zeitraum "D" 
(Endbericht)]])&gt;$I9,"zu viele Stunden im Projekt",ROUNDUP(IF($I9=0,0,$H9/$I9*M9),2))</f>
        <v>0</v>
      </c>
      <c r="V9" s="329">
        <f>Tabelle75[[#This Row],[Betrag Abrechnungs-zeitraum "A"
1. ZWB]]+Tabelle75[[#This Row],[Betrag Abrechnungs-zeitraum "B"
2. ZWB]]+Tabelle75[[#This Row],[Betrag Abrechnungs-zeitraum "C"
3. ZWB]]+Tabelle75[[#This Row],[Betrag Abrechnungs-zeitraum "D"
Endbericht]]</f>
        <v>0</v>
      </c>
      <c r="W9" s="297"/>
      <c r="X9" s="378">
        <f>IF(Eingabe!$Q$45="ja", V9-Y9+AC9,Overview!$AA$15)</f>
        <v>0</v>
      </c>
      <c r="Y9" s="84"/>
      <c r="Z9" s="85"/>
      <c r="AA9" s="86"/>
      <c r="AB9" s="87"/>
      <c r="AC9" s="82"/>
      <c r="AD9" s="85"/>
      <c r="AE9" s="286" t="str">
        <f t="shared" si="0"/>
        <v>a.2.2</v>
      </c>
      <c r="AF9" s="48"/>
    </row>
    <row r="10" spans="2:32" ht="14.5" x14ac:dyDescent="0.35">
      <c r="B10" s="45"/>
      <c r="C10" s="92" t="str">
        <f t="shared" si="1"/>
        <v>a.2.3</v>
      </c>
      <c r="D10" s="93"/>
      <c r="E10" s="93"/>
      <c r="F10" s="93"/>
      <c r="G10" s="99"/>
      <c r="H10" s="94"/>
      <c r="I10" s="95"/>
      <c r="J10" s="95"/>
      <c r="K10" s="95"/>
      <c r="L10" s="95"/>
      <c r="M10" s="95"/>
      <c r="N10" s="76"/>
      <c r="O10" s="76"/>
      <c r="P10" s="76"/>
      <c r="Q10" s="76"/>
      <c r="R10" s="328">
        <f>IF(SUM(Tabelle75[[#This Row],[IST-Stunden Abrechnungs-zeitraum "A" 
(1. ZWB)]:[IST-Stunden Abrechnungs-zeitraum "D" 
(Endbericht)]])&gt;$I10,"zu viele Stunden im Projekt",ROUNDUP(IF($I10=0,0,$H10/$I10*J10),2))</f>
        <v>0</v>
      </c>
      <c r="S10" s="328">
        <f>IF(SUM(Tabelle75[[#This Row],[IST-Stunden Abrechnungs-zeitraum "A" 
(1. ZWB)]:[IST-Stunden Abrechnungs-zeitraum "D" 
(Endbericht)]])&gt;$I10,"zu viele Stunden im Projekt",ROUNDUP(IF($I10=0,0,$H10/$I10*K10),2))</f>
        <v>0</v>
      </c>
      <c r="T10" s="328">
        <f>IF(SUM(Tabelle75[[#This Row],[IST-Stunden Abrechnungs-zeitraum "A" 
(1. ZWB)]:[IST-Stunden Abrechnungs-zeitraum "D" 
(Endbericht)]])&gt;$I10,"zu viele Stunden im Projekt",ROUNDUP(IF($I10=0,0,$H10/$I10*L10),2))</f>
        <v>0</v>
      </c>
      <c r="U10" s="328">
        <f>IF(SUM(Tabelle75[[#This Row],[IST-Stunden Abrechnungs-zeitraum "A" 
(1. ZWB)]:[IST-Stunden Abrechnungs-zeitraum "D" 
(Endbericht)]])&gt;$I10,"zu viele Stunden im Projekt",ROUNDUP(IF($I10=0,0,$H10/$I10*M10),2))</f>
        <v>0</v>
      </c>
      <c r="V10" s="329">
        <f>Tabelle75[[#This Row],[Betrag Abrechnungs-zeitraum "A"
1. ZWB]]+Tabelle75[[#This Row],[Betrag Abrechnungs-zeitraum "B"
2. ZWB]]+Tabelle75[[#This Row],[Betrag Abrechnungs-zeitraum "C"
3. ZWB]]+Tabelle75[[#This Row],[Betrag Abrechnungs-zeitraum "D"
Endbericht]]</f>
        <v>0</v>
      </c>
      <c r="W10" s="297"/>
      <c r="X10" s="378">
        <f>IF(Eingabe!$Q$45="ja", V10-Y10+AC10,Overview!$AA$15)</f>
        <v>0</v>
      </c>
      <c r="Y10" s="84"/>
      <c r="Z10" s="85"/>
      <c r="AA10" s="86"/>
      <c r="AB10" s="87"/>
      <c r="AC10" s="82"/>
      <c r="AD10" s="85"/>
      <c r="AE10" s="286" t="str">
        <f t="shared" si="0"/>
        <v>a.2.3</v>
      </c>
      <c r="AF10" s="48"/>
    </row>
    <row r="11" spans="2:32" ht="14.5" x14ac:dyDescent="0.35">
      <c r="B11" s="45"/>
      <c r="C11" s="92" t="str">
        <f t="shared" si="1"/>
        <v>a.2.4</v>
      </c>
      <c r="D11" s="275"/>
      <c r="E11" s="275"/>
      <c r="F11" s="275"/>
      <c r="G11" s="76"/>
      <c r="H11" s="97"/>
      <c r="I11" s="98"/>
      <c r="J11" s="98"/>
      <c r="K11" s="98"/>
      <c r="L11" s="98"/>
      <c r="M11" s="98"/>
      <c r="N11" s="99"/>
      <c r="O11" s="76"/>
      <c r="P11" s="99"/>
      <c r="Q11" s="99"/>
      <c r="R11" s="328">
        <f>IF(SUM(Tabelle75[[#This Row],[IST-Stunden Abrechnungs-zeitraum "A" 
(1. ZWB)]:[IST-Stunden Abrechnungs-zeitraum "D" 
(Endbericht)]])&gt;$I11,"zu viele Stunden im Projekt",ROUNDUP(IF($I11=0,0,$H11/$I11*J11),2))</f>
        <v>0</v>
      </c>
      <c r="S11" s="328">
        <f>IF(SUM(Tabelle75[[#This Row],[IST-Stunden Abrechnungs-zeitraum "A" 
(1. ZWB)]:[IST-Stunden Abrechnungs-zeitraum "D" 
(Endbericht)]])&gt;$I11,"zu viele Stunden im Projekt",ROUNDUP(IF($I11=0,0,$H11/$I11*K11),2))</f>
        <v>0</v>
      </c>
      <c r="T11" s="328">
        <f>IF(SUM(Tabelle75[[#This Row],[IST-Stunden Abrechnungs-zeitraum "A" 
(1. ZWB)]:[IST-Stunden Abrechnungs-zeitraum "D" 
(Endbericht)]])&gt;$I11,"zu viele Stunden im Projekt",ROUNDUP(IF($I11=0,0,$H11/$I11*L11),2))</f>
        <v>0</v>
      </c>
      <c r="U11" s="328">
        <f>IF(SUM(Tabelle75[[#This Row],[IST-Stunden Abrechnungs-zeitraum "A" 
(1. ZWB)]:[IST-Stunden Abrechnungs-zeitraum "D" 
(Endbericht)]])&gt;$I11,"zu viele Stunden im Projekt",ROUNDUP(IF($I11=0,0,$H11/$I11*M11),2))</f>
        <v>0</v>
      </c>
      <c r="V11" s="329">
        <f>Tabelle75[[#This Row],[Betrag Abrechnungs-zeitraum "A"
1. ZWB]]+Tabelle75[[#This Row],[Betrag Abrechnungs-zeitraum "B"
2. ZWB]]+Tabelle75[[#This Row],[Betrag Abrechnungs-zeitraum "C"
3. ZWB]]+Tabelle75[[#This Row],[Betrag Abrechnungs-zeitraum "D"
Endbericht]]</f>
        <v>0</v>
      </c>
      <c r="W11" s="298"/>
      <c r="X11" s="378">
        <f>IF(Eingabe!$Q$45="ja", V11-Y11+AC11,Overview!$AA$15)</f>
        <v>0</v>
      </c>
      <c r="Y11" s="145"/>
      <c r="Z11" s="146"/>
      <c r="AA11" s="147"/>
      <c r="AB11" s="148"/>
      <c r="AC11" s="149"/>
      <c r="AD11" s="146"/>
      <c r="AE11" s="287" t="str">
        <f t="shared" si="0"/>
        <v>a.2.4</v>
      </c>
      <c r="AF11" s="48"/>
    </row>
    <row r="12" spans="2:32" ht="14.5" x14ac:dyDescent="0.35">
      <c r="B12" s="45"/>
      <c r="C12" s="92" t="str">
        <f t="shared" si="1"/>
        <v>a.2.5</v>
      </c>
      <c r="D12" s="93"/>
      <c r="E12" s="93"/>
      <c r="F12" s="93"/>
      <c r="G12" s="76"/>
      <c r="H12" s="94"/>
      <c r="I12" s="95"/>
      <c r="J12" s="95"/>
      <c r="K12" s="95"/>
      <c r="L12" s="95"/>
      <c r="M12" s="95"/>
      <c r="N12" s="76"/>
      <c r="O12" s="76"/>
      <c r="P12" s="76"/>
      <c r="Q12" s="76"/>
      <c r="R12" s="328">
        <f>IF(SUM(Tabelle75[[#This Row],[IST-Stunden Abrechnungs-zeitraum "A" 
(1. ZWB)]:[IST-Stunden Abrechnungs-zeitraum "D" 
(Endbericht)]])&gt;$I12,"zu viele Stunden im Projekt",ROUNDUP(IF($I12=0,0,$H12/$I12*J12),2))</f>
        <v>0</v>
      </c>
      <c r="S12" s="328">
        <f>IF(SUM(Tabelle75[[#This Row],[IST-Stunden Abrechnungs-zeitraum "A" 
(1. ZWB)]:[IST-Stunden Abrechnungs-zeitraum "D" 
(Endbericht)]])&gt;$I12,"zu viele Stunden im Projekt",ROUNDUP(IF($I12=0,0,$H12/$I12*K12),2))</f>
        <v>0</v>
      </c>
      <c r="T12" s="328">
        <f>IF(SUM(Tabelle75[[#This Row],[IST-Stunden Abrechnungs-zeitraum "A" 
(1. ZWB)]:[IST-Stunden Abrechnungs-zeitraum "D" 
(Endbericht)]])&gt;$I12,"zu viele Stunden im Projekt",ROUNDUP(IF($I12=0,0,$H12/$I12*L12),2))</f>
        <v>0</v>
      </c>
      <c r="U12" s="328">
        <f>IF(SUM(Tabelle75[[#This Row],[IST-Stunden Abrechnungs-zeitraum "A" 
(1. ZWB)]:[IST-Stunden Abrechnungs-zeitraum "D" 
(Endbericht)]])&gt;$I12,"zu viele Stunden im Projekt",ROUNDUP(IF($I12=0,0,$H12/$I12*M12),2))</f>
        <v>0</v>
      </c>
      <c r="V12" s="329">
        <f>Tabelle75[[#This Row],[Betrag Abrechnungs-zeitraum "A"
1. ZWB]]+Tabelle75[[#This Row],[Betrag Abrechnungs-zeitraum "B"
2. ZWB]]+Tabelle75[[#This Row],[Betrag Abrechnungs-zeitraum "C"
3. ZWB]]+Tabelle75[[#This Row],[Betrag Abrechnungs-zeitraum "D"
Endbericht]]</f>
        <v>0</v>
      </c>
      <c r="W12" s="297"/>
      <c r="X12" s="378">
        <f>IF(Eingabe!$Q$45="ja", V12-Y12+AC12,Overview!$AA$15)</f>
        <v>0</v>
      </c>
      <c r="Y12" s="84"/>
      <c r="Z12" s="85"/>
      <c r="AA12" s="86"/>
      <c r="AB12" s="87"/>
      <c r="AC12" s="82"/>
      <c r="AD12" s="85"/>
      <c r="AE12" s="286" t="str">
        <f t="shared" si="0"/>
        <v>a.2.5</v>
      </c>
      <c r="AF12" s="48"/>
    </row>
    <row r="13" spans="2:32" ht="14.5" x14ac:dyDescent="0.35">
      <c r="B13" s="45"/>
      <c r="C13" s="92" t="str">
        <f t="shared" si="1"/>
        <v>a.2.6</v>
      </c>
      <c r="D13" s="93"/>
      <c r="E13" s="93"/>
      <c r="F13" s="93"/>
      <c r="G13" s="76"/>
      <c r="H13" s="94"/>
      <c r="I13" s="95"/>
      <c r="J13" s="95"/>
      <c r="K13" s="95"/>
      <c r="L13" s="95"/>
      <c r="M13" s="95"/>
      <c r="N13" s="76"/>
      <c r="O13" s="76"/>
      <c r="P13" s="76"/>
      <c r="Q13" s="76"/>
      <c r="R13" s="328">
        <f>IF(SUM(Tabelle75[[#This Row],[IST-Stunden Abrechnungs-zeitraum "A" 
(1. ZWB)]:[IST-Stunden Abrechnungs-zeitraum "D" 
(Endbericht)]])&gt;$I13,"zu viele Stunden im Projekt",ROUNDUP(IF($I13=0,0,$H13/$I13*J13),2))</f>
        <v>0</v>
      </c>
      <c r="S13" s="328">
        <f>IF(SUM(Tabelle75[[#This Row],[IST-Stunden Abrechnungs-zeitraum "A" 
(1. ZWB)]:[IST-Stunden Abrechnungs-zeitraum "D" 
(Endbericht)]])&gt;$I13,"zu viele Stunden im Projekt",ROUNDUP(IF($I13=0,0,$H13/$I13*K13),2))</f>
        <v>0</v>
      </c>
      <c r="T13" s="328">
        <f>IF(SUM(Tabelle75[[#This Row],[IST-Stunden Abrechnungs-zeitraum "A" 
(1. ZWB)]:[IST-Stunden Abrechnungs-zeitraum "D" 
(Endbericht)]])&gt;$I13,"zu viele Stunden im Projekt",ROUNDUP(IF($I13=0,0,$H13/$I13*L13),2))</f>
        <v>0</v>
      </c>
      <c r="U13" s="328">
        <f>IF(SUM(Tabelle75[[#This Row],[IST-Stunden Abrechnungs-zeitraum "A" 
(1. ZWB)]:[IST-Stunden Abrechnungs-zeitraum "D" 
(Endbericht)]])&gt;$I13,"zu viele Stunden im Projekt",ROUNDUP(IF($I13=0,0,$H13/$I13*M13),2))</f>
        <v>0</v>
      </c>
      <c r="V13" s="329">
        <f>Tabelle75[[#This Row],[Betrag Abrechnungs-zeitraum "A"
1. ZWB]]+Tabelle75[[#This Row],[Betrag Abrechnungs-zeitraum "B"
2. ZWB]]+Tabelle75[[#This Row],[Betrag Abrechnungs-zeitraum "C"
3. ZWB]]+Tabelle75[[#This Row],[Betrag Abrechnungs-zeitraum "D"
Endbericht]]</f>
        <v>0</v>
      </c>
      <c r="W13" s="297"/>
      <c r="X13" s="378">
        <f>IF(Eingabe!$Q$45="ja", V13-Y13+AC13,Overview!$AA$15)</f>
        <v>0</v>
      </c>
      <c r="Y13" s="84"/>
      <c r="Z13" s="85"/>
      <c r="AA13" s="86"/>
      <c r="AB13" s="87"/>
      <c r="AC13" s="82"/>
      <c r="AD13" s="85"/>
      <c r="AE13" s="286" t="str">
        <f t="shared" si="0"/>
        <v>a.2.6</v>
      </c>
      <c r="AF13" s="48"/>
    </row>
    <row r="14" spans="2:32" ht="14.5" x14ac:dyDescent="0.35">
      <c r="B14" s="45"/>
      <c r="C14" s="92" t="str">
        <f t="shared" si="1"/>
        <v>a.2.7</v>
      </c>
      <c r="D14" s="93"/>
      <c r="E14" s="93"/>
      <c r="F14" s="93"/>
      <c r="G14" s="76"/>
      <c r="H14" s="94"/>
      <c r="I14" s="95"/>
      <c r="J14" s="95"/>
      <c r="K14" s="95"/>
      <c r="L14" s="95"/>
      <c r="M14" s="95"/>
      <c r="N14" s="76"/>
      <c r="O14" s="76"/>
      <c r="P14" s="76"/>
      <c r="Q14" s="76"/>
      <c r="R14" s="328">
        <f>IF(SUM(Tabelle75[[#This Row],[IST-Stunden Abrechnungs-zeitraum "A" 
(1. ZWB)]:[IST-Stunden Abrechnungs-zeitraum "D" 
(Endbericht)]])&gt;$I14,"zu viele Stunden im Projekt",ROUNDUP(IF($I14=0,0,$H14/$I14*J14),2))</f>
        <v>0</v>
      </c>
      <c r="S14" s="328">
        <f>IF(SUM(Tabelle75[[#This Row],[IST-Stunden Abrechnungs-zeitraum "A" 
(1. ZWB)]:[IST-Stunden Abrechnungs-zeitraum "D" 
(Endbericht)]])&gt;$I14,"zu viele Stunden im Projekt",ROUNDUP(IF($I14=0,0,$H14/$I14*K14),2))</f>
        <v>0</v>
      </c>
      <c r="T14" s="328">
        <f>IF(SUM(Tabelle75[[#This Row],[IST-Stunden Abrechnungs-zeitraum "A" 
(1. ZWB)]:[IST-Stunden Abrechnungs-zeitraum "D" 
(Endbericht)]])&gt;$I14,"zu viele Stunden im Projekt",ROUNDUP(IF($I14=0,0,$H14/$I14*L14),2))</f>
        <v>0</v>
      </c>
      <c r="U14" s="328">
        <f>IF(SUM(Tabelle75[[#This Row],[IST-Stunden Abrechnungs-zeitraum "A" 
(1. ZWB)]:[IST-Stunden Abrechnungs-zeitraum "D" 
(Endbericht)]])&gt;$I14,"zu viele Stunden im Projekt",ROUNDUP(IF($I14=0,0,$H14/$I14*M14),2))</f>
        <v>0</v>
      </c>
      <c r="V14" s="329">
        <f>Tabelle75[[#This Row],[Betrag Abrechnungs-zeitraum "A"
1. ZWB]]+Tabelle75[[#This Row],[Betrag Abrechnungs-zeitraum "B"
2. ZWB]]+Tabelle75[[#This Row],[Betrag Abrechnungs-zeitraum "C"
3. ZWB]]+Tabelle75[[#This Row],[Betrag Abrechnungs-zeitraum "D"
Endbericht]]</f>
        <v>0</v>
      </c>
      <c r="W14" s="297"/>
      <c r="X14" s="378">
        <f>IF(Eingabe!$Q$45="ja", V14-Y14+AC14,Overview!$AA$15)</f>
        <v>0</v>
      </c>
      <c r="Y14" s="150"/>
      <c r="Z14" s="88"/>
      <c r="AA14" s="89"/>
      <c r="AB14" s="90"/>
      <c r="AC14" s="91"/>
      <c r="AD14" s="88"/>
      <c r="AE14" s="286" t="str">
        <f t="shared" si="0"/>
        <v>a.2.7</v>
      </c>
      <c r="AF14" s="48"/>
    </row>
    <row r="15" spans="2:32" ht="14.5" x14ac:dyDescent="0.35">
      <c r="B15" s="45"/>
      <c r="C15" s="92" t="str">
        <f t="shared" si="1"/>
        <v>a.2.8</v>
      </c>
      <c r="D15" s="93"/>
      <c r="E15" s="93"/>
      <c r="F15" s="93"/>
      <c r="G15" s="76"/>
      <c r="H15" s="94"/>
      <c r="I15" s="95"/>
      <c r="J15" s="95"/>
      <c r="K15" s="95"/>
      <c r="L15" s="95"/>
      <c r="M15" s="95"/>
      <c r="N15" s="76"/>
      <c r="O15" s="76"/>
      <c r="P15" s="76"/>
      <c r="Q15" s="76"/>
      <c r="R15" s="328">
        <f>IF(SUM(Tabelle75[[#This Row],[IST-Stunden Abrechnungs-zeitraum "A" 
(1. ZWB)]:[IST-Stunden Abrechnungs-zeitraum "D" 
(Endbericht)]])&gt;$I15,"zu viele Stunden im Projekt",ROUNDUP(IF($I15=0,0,$H15/$I15*J15),2))</f>
        <v>0</v>
      </c>
      <c r="S15" s="328">
        <f>IF(SUM(Tabelle75[[#This Row],[IST-Stunden Abrechnungs-zeitraum "A" 
(1. ZWB)]:[IST-Stunden Abrechnungs-zeitraum "D" 
(Endbericht)]])&gt;$I15,"zu viele Stunden im Projekt",ROUNDUP(IF($I15=0,0,$H15/$I15*K15),2))</f>
        <v>0</v>
      </c>
      <c r="T15" s="328">
        <f>IF(SUM(Tabelle75[[#This Row],[IST-Stunden Abrechnungs-zeitraum "A" 
(1. ZWB)]:[IST-Stunden Abrechnungs-zeitraum "D" 
(Endbericht)]])&gt;$I15,"zu viele Stunden im Projekt",ROUNDUP(IF($I15=0,0,$H15/$I15*L15),2))</f>
        <v>0</v>
      </c>
      <c r="U15" s="328">
        <f>IF(SUM(Tabelle75[[#This Row],[IST-Stunden Abrechnungs-zeitraum "A" 
(1. ZWB)]:[IST-Stunden Abrechnungs-zeitraum "D" 
(Endbericht)]])&gt;$I15,"zu viele Stunden im Projekt",ROUNDUP(IF($I15=0,0,$H15/$I15*M15),2))</f>
        <v>0</v>
      </c>
      <c r="V15" s="329">
        <f>Tabelle75[[#This Row],[Betrag Abrechnungs-zeitraum "A"
1. ZWB]]+Tabelle75[[#This Row],[Betrag Abrechnungs-zeitraum "B"
2. ZWB]]+Tabelle75[[#This Row],[Betrag Abrechnungs-zeitraum "C"
3. ZWB]]+Tabelle75[[#This Row],[Betrag Abrechnungs-zeitraum "D"
Endbericht]]</f>
        <v>0</v>
      </c>
      <c r="W15" s="297"/>
      <c r="X15" s="378">
        <f>IF(Eingabe!$Q$45="ja", V15-Y15+AC15,Overview!$AA$15)</f>
        <v>0</v>
      </c>
      <c r="Y15" s="150"/>
      <c r="Z15" s="88"/>
      <c r="AA15" s="89"/>
      <c r="AB15" s="90"/>
      <c r="AC15" s="91"/>
      <c r="AD15" s="88"/>
      <c r="AE15" s="286" t="str">
        <f t="shared" si="0"/>
        <v>a.2.8</v>
      </c>
      <c r="AF15" s="48"/>
    </row>
    <row r="16" spans="2:32" ht="14.5" x14ac:dyDescent="0.35">
      <c r="B16" s="45"/>
      <c r="C16" s="92" t="str">
        <f t="shared" si="1"/>
        <v>a.2.9</v>
      </c>
      <c r="D16" s="93"/>
      <c r="E16" s="93"/>
      <c r="F16" s="93"/>
      <c r="G16" s="76"/>
      <c r="H16" s="94"/>
      <c r="I16" s="95"/>
      <c r="J16" s="95"/>
      <c r="K16" s="95"/>
      <c r="L16" s="95"/>
      <c r="M16" s="95"/>
      <c r="N16" s="76"/>
      <c r="O16" s="76"/>
      <c r="P16" s="76"/>
      <c r="Q16" s="76"/>
      <c r="R16" s="328">
        <f>IF(SUM(Tabelle75[[#This Row],[IST-Stunden Abrechnungs-zeitraum "A" 
(1. ZWB)]:[IST-Stunden Abrechnungs-zeitraum "D" 
(Endbericht)]])&gt;$I16,"zu viele Stunden im Projekt",ROUNDUP(IF($I16=0,0,$H16/$I16*J16),2))</f>
        <v>0</v>
      </c>
      <c r="S16" s="328">
        <f>IF(SUM(Tabelle75[[#This Row],[IST-Stunden Abrechnungs-zeitraum "A" 
(1. ZWB)]:[IST-Stunden Abrechnungs-zeitraum "D" 
(Endbericht)]])&gt;$I16,"zu viele Stunden im Projekt",ROUNDUP(IF($I16=0,0,$H16/$I16*K16),2))</f>
        <v>0</v>
      </c>
      <c r="T16" s="328">
        <f>IF(SUM(Tabelle75[[#This Row],[IST-Stunden Abrechnungs-zeitraum "A" 
(1. ZWB)]:[IST-Stunden Abrechnungs-zeitraum "D" 
(Endbericht)]])&gt;$I16,"zu viele Stunden im Projekt",ROUNDUP(IF($I16=0,0,$H16/$I16*L16),2))</f>
        <v>0</v>
      </c>
      <c r="U16" s="328">
        <f>IF(SUM(Tabelle75[[#This Row],[IST-Stunden Abrechnungs-zeitraum "A" 
(1. ZWB)]:[IST-Stunden Abrechnungs-zeitraum "D" 
(Endbericht)]])&gt;$I16,"zu viele Stunden im Projekt",ROUNDUP(IF($I16=0,0,$H16/$I16*M16),2))</f>
        <v>0</v>
      </c>
      <c r="V16" s="329">
        <f>Tabelle75[[#This Row],[Betrag Abrechnungs-zeitraum "A"
1. ZWB]]+Tabelle75[[#This Row],[Betrag Abrechnungs-zeitraum "B"
2. ZWB]]+Tabelle75[[#This Row],[Betrag Abrechnungs-zeitraum "C"
3. ZWB]]+Tabelle75[[#This Row],[Betrag Abrechnungs-zeitraum "D"
Endbericht]]</f>
        <v>0</v>
      </c>
      <c r="W16" s="297"/>
      <c r="X16" s="378">
        <f>IF(Eingabe!$Q$45="ja", V16-Y16+AC16,Overview!$AA$15)</f>
        <v>0</v>
      </c>
      <c r="Y16" s="84"/>
      <c r="Z16" s="85"/>
      <c r="AA16" s="86"/>
      <c r="AB16" s="87"/>
      <c r="AC16" s="82"/>
      <c r="AD16" s="85"/>
      <c r="AE16" s="286" t="str">
        <f t="shared" si="0"/>
        <v>a.2.9</v>
      </c>
      <c r="AF16" s="48"/>
    </row>
    <row r="17" spans="2:33" ht="26.5" thickBot="1" x14ac:dyDescent="0.4">
      <c r="B17" s="45"/>
      <c r="C17" s="263" t="str">
        <f t="shared" si="1"/>
        <v>a.2.10</v>
      </c>
      <c r="D17" s="64"/>
      <c r="E17" s="64"/>
      <c r="F17" s="64"/>
      <c r="G17" s="65" t="s">
        <v>96</v>
      </c>
      <c r="H17" s="68"/>
      <c r="I17" s="69"/>
      <c r="J17" s="69"/>
      <c r="K17" s="69"/>
      <c r="L17" s="69"/>
      <c r="M17" s="69"/>
      <c r="N17" s="65"/>
      <c r="O17" s="65"/>
      <c r="P17" s="65"/>
      <c r="Q17" s="65"/>
      <c r="R17" s="328">
        <f>IF(SUM(Tabelle75[[#This Row],[IST-Stunden Abrechnungs-zeitraum "A" 
(1. ZWB)]:[IST-Stunden Abrechnungs-zeitraum "D" 
(Endbericht)]])&gt;$I17,"zu viele Stunden im Projekt",ROUNDUP(IF($I17=0,0,$H17/$I17*J17),2))</f>
        <v>0</v>
      </c>
      <c r="S17" s="328">
        <f>IF(SUM(Tabelle75[[#This Row],[IST-Stunden Abrechnungs-zeitraum "A" 
(1. ZWB)]:[IST-Stunden Abrechnungs-zeitraum "D" 
(Endbericht)]])&gt;$I17,"zu viele Stunden im Projekt",ROUNDUP(IF($I17=0,0,$H17/$I17*K17),2))</f>
        <v>0</v>
      </c>
      <c r="T17" s="328">
        <f>IF(SUM(Tabelle75[[#This Row],[IST-Stunden Abrechnungs-zeitraum "A" 
(1. ZWB)]:[IST-Stunden Abrechnungs-zeitraum "D" 
(Endbericht)]])&gt;$I17,"zu viele Stunden im Projekt",ROUNDUP(IF($I17=0,0,$H17/$I17*L17),2))</f>
        <v>0</v>
      </c>
      <c r="U17" s="328">
        <f>IF(SUM(Tabelle75[[#This Row],[IST-Stunden Abrechnungs-zeitraum "A" 
(1. ZWB)]:[IST-Stunden Abrechnungs-zeitraum "D" 
(Endbericht)]])&gt;$I17,"zu viele Stunden im Projekt",ROUNDUP(IF($I17=0,0,$H17/$I17*M17),2))</f>
        <v>0</v>
      </c>
      <c r="V17" s="329">
        <f>Tabelle75[[#This Row],[Betrag Abrechnungs-zeitraum "A"
1. ZWB]]+Tabelle75[[#This Row],[Betrag Abrechnungs-zeitraum "B"
2. ZWB]]+Tabelle75[[#This Row],[Betrag Abrechnungs-zeitraum "C"
3. ZWB]]+Tabelle75[[#This Row],[Betrag Abrechnungs-zeitraum "D"
Endbericht]]</f>
        <v>0</v>
      </c>
      <c r="W17" s="299"/>
      <c r="X17" s="378">
        <f>IF(Eingabe!$Q$45="ja", V17-Y17+AC17,Overview!$AA$15)</f>
        <v>0</v>
      </c>
      <c r="Y17" s="290"/>
      <c r="Z17" s="291"/>
      <c r="AA17" s="292"/>
      <c r="AB17" s="293"/>
      <c r="AC17" s="294"/>
      <c r="AD17" s="291"/>
      <c r="AE17" s="295" t="str">
        <f t="shared" si="0"/>
        <v>a.2.10</v>
      </c>
      <c r="AF17" s="48"/>
    </row>
    <row r="18" spans="2:33" ht="14.5" x14ac:dyDescent="0.35">
      <c r="B18" s="45"/>
      <c r="C18" s="161"/>
      <c r="D18" s="161"/>
      <c r="E18" s="161"/>
      <c r="F18" s="161"/>
      <c r="G18" s="54"/>
      <c r="H18" s="54"/>
      <c r="I18" s="61"/>
      <c r="J18" s="61"/>
      <c r="K18" s="61"/>
      <c r="L18" s="61"/>
      <c r="M18" s="61"/>
      <c r="N18" s="54"/>
      <c r="O18" s="262">
        <f>SUMIF(Tabelle75[Beleg vorgelegt (j/n)],"j",Tabelle75[Betrag
Gesamt])</f>
        <v>0</v>
      </c>
      <c r="P18" s="54"/>
      <c r="Q18" s="54"/>
      <c r="R18" s="54"/>
      <c r="S18" s="54"/>
      <c r="T18" s="54"/>
      <c r="U18" s="54"/>
      <c r="V18" s="62"/>
      <c r="W18" s="277">
        <f>SUMIF(Tabelle75[Beleg geprüft
(j)],"j",Tabelle75[anerkannter Betrag nach Prüfung der Endabrechnung])</f>
        <v>0</v>
      </c>
      <c r="X18" s="51"/>
      <c r="Y18" s="51"/>
      <c r="Z18" s="52"/>
      <c r="AA18" s="52"/>
      <c r="AB18" s="52"/>
      <c r="AC18" s="52"/>
      <c r="AD18" s="52"/>
      <c r="AE18" s="52"/>
      <c r="AF18" s="48"/>
      <c r="AG18" s="53"/>
    </row>
    <row r="19" spans="2:33" ht="14.15" customHeight="1" x14ac:dyDescent="0.35">
      <c r="B19" s="45"/>
      <c r="C19" s="161"/>
      <c r="D19" s="161"/>
      <c r="E19" s="161"/>
      <c r="F19" s="161"/>
      <c r="G19" s="161"/>
      <c r="H19" s="161"/>
      <c r="I19" s="61"/>
      <c r="J19" s="61"/>
      <c r="K19" s="61"/>
      <c r="L19" s="61"/>
      <c r="M19" s="61"/>
      <c r="N19" s="158"/>
      <c r="O19" s="158"/>
      <c r="P19" s="158"/>
      <c r="Q19" s="158"/>
      <c r="R19" s="158"/>
      <c r="S19" s="158"/>
      <c r="T19" s="158"/>
      <c r="U19" s="158"/>
      <c r="V19" s="156"/>
      <c r="W19" s="155"/>
      <c r="X19" s="156"/>
      <c r="Y19" s="156"/>
      <c r="Z19" s="157"/>
      <c r="AA19" s="52"/>
      <c r="AB19" s="52"/>
      <c r="AC19" s="52"/>
      <c r="AD19" s="52"/>
      <c r="AE19" s="52"/>
      <c r="AF19" s="48"/>
      <c r="AG19" s="53"/>
    </row>
    <row r="20" spans="2:33" ht="14.15" customHeight="1" x14ac:dyDescent="0.35">
      <c r="B20" s="45"/>
      <c r="C20" s="161"/>
      <c r="D20" s="161"/>
      <c r="E20" s="161"/>
      <c r="F20" s="161"/>
      <c r="G20" s="161"/>
      <c r="H20" s="161"/>
      <c r="I20" s="161"/>
      <c r="J20" s="270"/>
      <c r="K20" s="270"/>
      <c r="L20" s="270"/>
      <c r="M20" s="161"/>
      <c r="N20" s="325"/>
      <c r="O20" s="577"/>
      <c r="P20" s="578"/>
      <c r="Q20" s="578"/>
      <c r="R20" s="159" t="s">
        <v>140</v>
      </c>
      <c r="S20" s="159" t="s">
        <v>142</v>
      </c>
      <c r="T20" s="159" t="s">
        <v>141</v>
      </c>
      <c r="U20" s="159" t="s">
        <v>143</v>
      </c>
      <c r="V20" s="159" t="s">
        <v>144</v>
      </c>
      <c r="W20" s="159" t="s">
        <v>198</v>
      </c>
      <c r="X20" s="159" t="s">
        <v>199</v>
      </c>
      <c r="Y20" s="161"/>
      <c r="Z20" s="270"/>
      <c r="AA20" s="270"/>
      <c r="AB20" s="270"/>
      <c r="AC20" s="270"/>
      <c r="AD20" s="161"/>
      <c r="AE20" s="161"/>
      <c r="AF20" s="48"/>
    </row>
    <row r="21" spans="2:33" ht="14.15" customHeight="1" x14ac:dyDescent="0.35">
      <c r="B21" s="45"/>
      <c r="C21" s="161"/>
      <c r="D21" s="161"/>
      <c r="E21" s="161"/>
      <c r="F21" s="161"/>
      <c r="G21" s="161"/>
      <c r="H21" s="161"/>
      <c r="I21" s="161"/>
      <c r="J21" s="270"/>
      <c r="K21" s="270"/>
      <c r="L21" s="270"/>
      <c r="M21" s="161"/>
      <c r="N21" s="327">
        <v>1</v>
      </c>
      <c r="O21" s="524" t="str">
        <f>Eingabe!H$18&amp;": "&amp;Eingabe!H$19</f>
        <v>Maßnahme 1: Titel</v>
      </c>
      <c r="P21" s="524"/>
      <c r="Q21" s="524"/>
      <c r="R21" s="151">
        <f>ROUND(SUMIFS(Tabelle75[Betrag Abrechnungs-zeitraum "A"
1. ZWB],Tabelle75[Maß-nahme], $N21),2)</f>
        <v>0</v>
      </c>
      <c r="S21" s="151">
        <f>ROUND(SUMIFS(Tabelle75[Betrag Abrechnungs-zeitraum "B"
2. ZWB], Tabelle75[Maß-nahme], $N21),2)</f>
        <v>0</v>
      </c>
      <c r="T21" s="151">
        <f>ROUND(SUMIFS(Tabelle75[Betrag Abrechnungs-zeitraum "C"
3. ZWB],Tabelle75[Maß-nahme], $N21),2)</f>
        <v>0</v>
      </c>
      <c r="U21" s="151">
        <f>ROUND(SUMIFS(Tabelle75[Betrag Abrechnungs-zeitraum "D"
Endbericht], Tabelle75[Maß-nahme], $N21),2)</f>
        <v>0</v>
      </c>
      <c r="V21" s="306">
        <f>ROUND(SUMIF(Tabelle75[Maß-nahme],N21,Tabelle75[Betrag
Gesamt]),2)</f>
        <v>0</v>
      </c>
      <c r="W21" s="305">
        <f>IF(Eingabe!$Q$45="ja",ROUND(SUMIF(Tabelle75[Maß-nahme],"1",Tabelle75[anerkannter Betrag nach Prüfung der Endabrechnung]),2),Overview!$AA$15)</f>
        <v>0</v>
      </c>
      <c r="X21" s="305">
        <f>IF(Eingabe!$Q$45="ja",SUMIF(Tabelle75[Maß-nahme],"1",Tabelle75[aberkannter Betrag nach Prüfung der Endabrechnung])-SUMIF(Tabelle75[Maß-nahme],"1",Tabelle75[Betrag der Änderung der Aberkennung 
(+ entspricht Zuerkennung)]),Overview!$AA$15)</f>
        <v>0</v>
      </c>
      <c r="Y21" s="161"/>
      <c r="Z21" s="270"/>
      <c r="AA21" s="270"/>
      <c r="AB21" s="270"/>
      <c r="AC21" s="270"/>
      <c r="AD21" s="161"/>
      <c r="AE21" s="161"/>
      <c r="AF21" s="48"/>
    </row>
    <row r="22" spans="2:33" ht="14.15" customHeight="1" x14ac:dyDescent="0.35">
      <c r="B22" s="45"/>
      <c r="C22" s="161"/>
      <c r="D22" s="161"/>
      <c r="E22" s="161"/>
      <c r="F22" s="161"/>
      <c r="G22" s="161"/>
      <c r="H22" s="161"/>
      <c r="I22" s="161"/>
      <c r="J22" s="270"/>
      <c r="K22" s="270"/>
      <c r="L22" s="270"/>
      <c r="M22" s="161"/>
      <c r="N22" s="327">
        <v>2</v>
      </c>
      <c r="O22" s="524" t="str">
        <f>Eingabe!I$18&amp;": "&amp;Eingabe!I$19</f>
        <v>Maßnahme 2: keine</v>
      </c>
      <c r="P22" s="524"/>
      <c r="Q22" s="524"/>
      <c r="R22" s="151">
        <f>ROUND(SUMIFS(Tabelle75[Betrag Abrechnungs-zeitraum "A"
1. ZWB],Tabelle75[Maß-nahme], $N22),2)</f>
        <v>0</v>
      </c>
      <c r="S22" s="151">
        <f>ROUND(SUMIFS(Tabelle75[Betrag Abrechnungs-zeitraum "B"
2. ZWB], Tabelle75[Maß-nahme], $N22),2)</f>
        <v>0</v>
      </c>
      <c r="T22" s="151">
        <f>ROUND(SUMIFS(Tabelle75[Betrag Abrechnungs-zeitraum "C"
3. ZWB],Tabelle75[Maß-nahme], $N22),2)</f>
        <v>0</v>
      </c>
      <c r="U22" s="151">
        <f>ROUND(SUMIFS(Tabelle75[Betrag Abrechnungs-zeitraum "D"
Endbericht], Tabelle75[Maß-nahme], $N22),2)</f>
        <v>0</v>
      </c>
      <c r="V22" s="306">
        <f>ROUND(SUMIF(Tabelle75[Maß-nahme],N22,Tabelle75[Betrag
Gesamt]),2)</f>
        <v>0</v>
      </c>
      <c r="W22" s="305">
        <f>IF(Eingabe!$Q$45="ja",ROUND(SUMIF(Tabelle75[Maß-nahme],"2",Tabelle75[anerkannter Betrag nach Prüfung der Endabrechnung]),2),Overview!$AA$15)</f>
        <v>0</v>
      </c>
      <c r="X22" s="305">
        <f>IF(Eingabe!$Q$45="ja",SUMIF(Tabelle75[Maß-nahme],"2",Tabelle75[aberkannter Betrag nach Prüfung der Endabrechnung])-SUMIF(Tabelle75[Maß-nahme],"1",Tabelle75[Betrag der Änderung der Aberkennung 
(+ entspricht Zuerkennung)]),Overview!$AA$15)</f>
        <v>0</v>
      </c>
      <c r="Y22" s="161"/>
      <c r="Z22" s="270"/>
      <c r="AA22" s="270"/>
      <c r="AB22" s="270"/>
      <c r="AC22" s="270"/>
      <c r="AD22" s="161"/>
      <c r="AE22" s="161"/>
      <c r="AF22" s="48"/>
    </row>
    <row r="23" spans="2:33" ht="14.15" customHeight="1" x14ac:dyDescent="0.35">
      <c r="B23" s="45"/>
      <c r="C23" s="161"/>
      <c r="D23" s="161"/>
      <c r="E23" s="161"/>
      <c r="F23" s="161"/>
      <c r="G23" s="161"/>
      <c r="H23" s="161"/>
      <c r="I23" s="161"/>
      <c r="J23" s="270"/>
      <c r="K23" s="270"/>
      <c r="L23" s="270"/>
      <c r="M23" s="161"/>
      <c r="N23" s="327">
        <v>3</v>
      </c>
      <c r="O23" s="524" t="str">
        <f>Eingabe!J$18&amp;": "&amp;Eingabe!J$19</f>
        <v>Maßnahme 3: keine</v>
      </c>
      <c r="P23" s="524"/>
      <c r="Q23" s="524"/>
      <c r="R23" s="151">
        <f>ROUND(SUMIFS(Tabelle75[Betrag Abrechnungs-zeitraum "A"
1. ZWB],Tabelle75[Maß-nahme], $N23),2)</f>
        <v>0</v>
      </c>
      <c r="S23" s="151">
        <f>ROUND(SUMIFS(Tabelle75[Betrag Abrechnungs-zeitraum "B"
2. ZWB], Tabelle75[Maß-nahme], $N23),2)</f>
        <v>0</v>
      </c>
      <c r="T23" s="151">
        <f>ROUND(SUMIFS(Tabelle75[Betrag Abrechnungs-zeitraum "C"
3. ZWB],Tabelle75[Maß-nahme], $N23),2)</f>
        <v>0</v>
      </c>
      <c r="U23" s="151">
        <f>ROUND(SUMIFS(Tabelle75[Betrag Abrechnungs-zeitraum "D"
Endbericht], Tabelle75[Maß-nahme], $N23),2)</f>
        <v>0</v>
      </c>
      <c r="V23" s="306">
        <f>ROUND(SUMIF(Tabelle75[Maß-nahme],N23,Tabelle75[Betrag
Gesamt]),2)</f>
        <v>0</v>
      </c>
      <c r="W23" s="305">
        <f>IF(Eingabe!$Q$45="ja",ROUND(SUMIF(Tabelle75[Maß-nahme],"3",Tabelle75[anerkannter Betrag nach Prüfung der Endabrechnung]),2),Overview!$AA$15)</f>
        <v>0</v>
      </c>
      <c r="X23" s="305">
        <f>IF(Eingabe!$Q$45="ja",SUMIF(Tabelle75[Maß-nahme],"3",Tabelle75[aberkannter Betrag nach Prüfung der Endabrechnung])-SUMIF(Tabelle75[Maß-nahme],"1",Tabelle75[Betrag der Änderung der Aberkennung 
(+ entspricht Zuerkennung)]),Overview!$AA$15)</f>
        <v>0</v>
      </c>
      <c r="Y23" s="161"/>
      <c r="Z23" s="270"/>
      <c r="AA23" s="270"/>
      <c r="AB23" s="270"/>
      <c r="AC23" s="270"/>
      <c r="AD23" s="161"/>
      <c r="AE23" s="161"/>
      <c r="AF23" s="48"/>
    </row>
    <row r="24" spans="2:33" ht="14.15" customHeight="1" x14ac:dyDescent="0.35">
      <c r="B24" s="45"/>
      <c r="C24" s="161"/>
      <c r="D24" s="161"/>
      <c r="E24" s="161"/>
      <c r="F24" s="161"/>
      <c r="G24" s="161"/>
      <c r="H24" s="161"/>
      <c r="I24" s="161"/>
      <c r="J24" s="270"/>
      <c r="K24" s="270"/>
      <c r="L24" s="270"/>
      <c r="M24" s="161"/>
      <c r="N24" s="327">
        <v>4</v>
      </c>
      <c r="O24" s="524" t="str">
        <f>Eingabe!K$18&amp;": "&amp;Eingabe!K$19</f>
        <v>Maßnahme 4: keine</v>
      </c>
      <c r="P24" s="524"/>
      <c r="Q24" s="524"/>
      <c r="R24" s="151">
        <f>ROUND(SUMIFS(Tabelle75[Betrag Abrechnungs-zeitraum "A"
1. ZWB],Tabelle75[Maß-nahme], $N24),2)</f>
        <v>0</v>
      </c>
      <c r="S24" s="151">
        <f>ROUND(SUMIFS(Tabelle75[Betrag Abrechnungs-zeitraum "B"
2. ZWB], Tabelle75[Maß-nahme], $N24),2)</f>
        <v>0</v>
      </c>
      <c r="T24" s="151">
        <f>ROUND(SUMIFS(Tabelle75[Betrag Abrechnungs-zeitraum "C"
3. ZWB],Tabelle75[Maß-nahme], $N24),2)</f>
        <v>0</v>
      </c>
      <c r="U24" s="151">
        <f>ROUND(SUMIFS(Tabelle75[Betrag Abrechnungs-zeitraum "D"
Endbericht], Tabelle75[Maß-nahme], $N24),2)</f>
        <v>0</v>
      </c>
      <c r="V24" s="306">
        <f>ROUND(SUMIF(Tabelle75[Maß-nahme],N24,Tabelle75[Betrag
Gesamt]),2)</f>
        <v>0</v>
      </c>
      <c r="W24" s="305">
        <f>IF(Eingabe!$Q$45="ja",ROUND(SUMIF(Tabelle75[Maß-nahme],"4",Tabelle75[anerkannter Betrag nach Prüfung der Endabrechnung]),2),Overview!$AA$15)</f>
        <v>0</v>
      </c>
      <c r="X24" s="305">
        <f>IF(Eingabe!$Q$45="ja",SUMIF(Tabelle75[Maß-nahme],"4",Tabelle75[aberkannter Betrag nach Prüfung der Endabrechnung])-SUMIF(Tabelle75[Maß-nahme],"1",Tabelle75[Betrag der Änderung der Aberkennung 
(+ entspricht Zuerkennung)]),Overview!$AA$15)</f>
        <v>0</v>
      </c>
      <c r="Y24" s="161"/>
      <c r="Z24" s="270"/>
      <c r="AA24" s="270"/>
      <c r="AB24" s="270"/>
      <c r="AC24" s="270"/>
      <c r="AD24" s="161"/>
      <c r="AE24" s="161"/>
      <c r="AF24" s="48"/>
    </row>
    <row r="25" spans="2:33" ht="14.15" customHeight="1" x14ac:dyDescent="0.35">
      <c r="B25" s="45"/>
      <c r="C25" s="161"/>
      <c r="D25" s="161"/>
      <c r="E25" s="161"/>
      <c r="F25" s="161"/>
      <c r="G25" s="161"/>
      <c r="H25" s="161"/>
      <c r="I25" s="161"/>
      <c r="J25" s="270"/>
      <c r="K25" s="270"/>
      <c r="L25" s="270"/>
      <c r="M25" s="161"/>
      <c r="N25" s="327">
        <v>5</v>
      </c>
      <c r="O25" s="524" t="str">
        <f>Eingabe!L$18&amp;": "&amp;Eingabe!L$19</f>
        <v>Maßnahme 5: keine</v>
      </c>
      <c r="P25" s="524"/>
      <c r="Q25" s="524"/>
      <c r="R25" s="151">
        <f>ROUND(SUMIFS(Tabelle75[Betrag Abrechnungs-zeitraum "A"
1. ZWB],Tabelle75[Maß-nahme], $N25),2)</f>
        <v>0</v>
      </c>
      <c r="S25" s="151">
        <f>ROUND(SUMIFS(Tabelle75[Betrag Abrechnungs-zeitraum "B"
2. ZWB], Tabelle75[Maß-nahme], $N25),2)</f>
        <v>0</v>
      </c>
      <c r="T25" s="151">
        <f>ROUND(SUMIFS(Tabelle75[Betrag Abrechnungs-zeitraum "C"
3. ZWB],Tabelle75[Maß-nahme], $N25),2)</f>
        <v>0</v>
      </c>
      <c r="U25" s="151">
        <f>ROUND(SUMIFS(Tabelle75[Betrag Abrechnungs-zeitraum "D"
Endbericht], Tabelle75[Maß-nahme], $N25),2)</f>
        <v>0</v>
      </c>
      <c r="V25" s="306">
        <f>ROUND(SUMIF(Tabelle75[Maß-nahme],N25,Tabelle75[Betrag
Gesamt]),2)</f>
        <v>0</v>
      </c>
      <c r="W25" s="305">
        <f>IF(Eingabe!$Q$45="ja",ROUND(SUMIF(Tabelle75[Maß-nahme],"5",Tabelle75[anerkannter Betrag nach Prüfung der Endabrechnung]),2),Overview!$AA$15)</f>
        <v>0</v>
      </c>
      <c r="X25" s="305">
        <f>IF(Eingabe!$Q$45="ja",SUMIF(Tabelle75[Maß-nahme],"5",Tabelle75[aberkannter Betrag nach Prüfung der Endabrechnung])-SUMIF(Tabelle75[Maß-nahme],"1",Tabelle75[Betrag der Änderung der Aberkennung 
(+ entspricht Zuerkennung)]),Overview!$AA$15)</f>
        <v>0</v>
      </c>
      <c r="Y25" s="161"/>
      <c r="Z25" s="270"/>
      <c r="AA25" s="270"/>
      <c r="AB25" s="270"/>
      <c r="AC25" s="270"/>
      <c r="AD25" s="161"/>
      <c r="AE25" s="161"/>
      <c r="AF25" s="48"/>
    </row>
    <row r="26" spans="2:33" ht="14.15" customHeight="1" x14ac:dyDescent="0.35">
      <c r="B26" s="45"/>
      <c r="C26" s="161"/>
      <c r="D26" s="161"/>
      <c r="E26" s="161"/>
      <c r="F26" s="161"/>
      <c r="G26" s="161"/>
      <c r="H26" s="161"/>
      <c r="I26" s="161"/>
      <c r="J26" s="270"/>
      <c r="K26" s="270"/>
      <c r="L26" s="270"/>
      <c r="M26" s="161"/>
      <c r="N26" s="327">
        <v>6</v>
      </c>
      <c r="O26" s="524" t="str">
        <f>Eingabe!M$18&amp;": "&amp;Eingabe!M$19</f>
        <v>Maßnahme 6: keine</v>
      </c>
      <c r="P26" s="524"/>
      <c r="Q26" s="524"/>
      <c r="R26" s="151">
        <f>ROUND(SUMIFS(Tabelle75[Betrag Abrechnungs-zeitraum "A"
1. ZWB],Tabelle75[Maß-nahme], $N26),2)</f>
        <v>0</v>
      </c>
      <c r="S26" s="151">
        <f>ROUND(SUMIFS(Tabelle75[Betrag Abrechnungs-zeitraum "B"
2. ZWB], Tabelle75[Maß-nahme], $N26),2)</f>
        <v>0</v>
      </c>
      <c r="T26" s="151">
        <f>ROUND(SUMIFS(Tabelle75[Betrag Abrechnungs-zeitraum "C"
3. ZWB],Tabelle75[Maß-nahme], $N26),2)</f>
        <v>0</v>
      </c>
      <c r="U26" s="151">
        <f>ROUND(SUMIFS(Tabelle75[Betrag Abrechnungs-zeitraum "D"
Endbericht], Tabelle75[Maß-nahme], $N26),2)</f>
        <v>0</v>
      </c>
      <c r="V26" s="306">
        <f>ROUND(SUMIF(Tabelle75[Maß-nahme],N26,Tabelle75[Betrag
Gesamt]),2)</f>
        <v>0</v>
      </c>
      <c r="W26" s="305">
        <f>IF(Eingabe!$Q$45="ja",ROUND(SUMIF(Tabelle75[Maß-nahme],"6",Tabelle75[anerkannter Betrag nach Prüfung der Endabrechnung]),2),Overview!$AA$15)</f>
        <v>0</v>
      </c>
      <c r="X26" s="305">
        <f>IF(Eingabe!$Q$45="ja",SUMIF(Tabelle75[Maß-nahme],"6",Tabelle75[aberkannter Betrag nach Prüfung der Endabrechnung])-SUMIF(Tabelle75[Maß-nahme],"1",Tabelle75[Betrag der Änderung der Aberkennung 
(+ entspricht Zuerkennung)]),Overview!$AA$15)</f>
        <v>0</v>
      </c>
      <c r="Y26" s="161"/>
      <c r="Z26" s="270"/>
      <c r="AA26" s="270"/>
      <c r="AB26" s="270"/>
      <c r="AC26" s="270"/>
      <c r="AD26" s="161"/>
      <c r="AE26" s="161"/>
      <c r="AF26" s="48"/>
    </row>
    <row r="27" spans="2:33" ht="14.15" customHeight="1" x14ac:dyDescent="0.35">
      <c r="B27" s="45"/>
      <c r="C27" s="161"/>
      <c r="D27" s="161"/>
      <c r="E27" s="161"/>
      <c r="F27" s="161"/>
      <c r="G27" s="161"/>
      <c r="H27" s="161"/>
      <c r="I27" s="161"/>
      <c r="J27" s="270"/>
      <c r="K27" s="270"/>
      <c r="L27" s="270"/>
      <c r="M27" s="161"/>
      <c r="N27" s="327">
        <v>7</v>
      </c>
      <c r="O27" s="524" t="str">
        <f>Eingabe!N$18&amp;": "&amp;Eingabe!N$19</f>
        <v>Maßnahme 7: keine</v>
      </c>
      <c r="P27" s="524"/>
      <c r="Q27" s="524"/>
      <c r="R27" s="151">
        <f>ROUND(SUMIFS(Tabelle75[Betrag Abrechnungs-zeitraum "A"
1. ZWB],Tabelle75[Maß-nahme], $N27),2)</f>
        <v>0</v>
      </c>
      <c r="S27" s="151">
        <f>ROUND(SUMIFS(Tabelle75[Betrag Abrechnungs-zeitraum "B"
2. ZWB], Tabelle75[Maß-nahme], $N27),2)</f>
        <v>0</v>
      </c>
      <c r="T27" s="151">
        <f>ROUND(SUMIFS(Tabelle75[Betrag Abrechnungs-zeitraum "C"
3. ZWB],Tabelle75[Maß-nahme], $N27),2)</f>
        <v>0</v>
      </c>
      <c r="U27" s="151">
        <f>ROUND(SUMIFS(Tabelle75[Betrag Abrechnungs-zeitraum "D"
Endbericht], Tabelle75[Maß-nahme], $N27),2)</f>
        <v>0</v>
      </c>
      <c r="V27" s="306">
        <f>ROUND(SUMIF(Tabelle75[Maß-nahme],N27,Tabelle75[Betrag
Gesamt]),2)</f>
        <v>0</v>
      </c>
      <c r="W27" s="305">
        <f>IF(Eingabe!$Q$45="ja",ROUND(SUMIF(Tabelle75[Maß-nahme],"7",Tabelle75[anerkannter Betrag nach Prüfung der Endabrechnung]),2),Overview!$AA$15)</f>
        <v>0</v>
      </c>
      <c r="X27" s="305">
        <f>IF(Eingabe!$Q$45="ja",SUMIF(Tabelle75[Maß-nahme],"7",Tabelle75[aberkannter Betrag nach Prüfung der Endabrechnung])-SUMIF(Tabelle75[Maß-nahme],"1",Tabelle75[Betrag der Änderung der Aberkennung 
(+ entspricht Zuerkennung)]),Overview!$AA$15)</f>
        <v>0</v>
      </c>
      <c r="Y27" s="161"/>
      <c r="Z27" s="270"/>
      <c r="AA27" s="270"/>
      <c r="AB27" s="270"/>
      <c r="AC27" s="270"/>
      <c r="AD27" s="161"/>
      <c r="AE27" s="161"/>
      <c r="AF27" s="48"/>
    </row>
    <row r="28" spans="2:33" ht="14.15" customHeight="1" x14ac:dyDescent="0.35">
      <c r="B28" s="45"/>
      <c r="C28" s="161"/>
      <c r="D28" s="161"/>
      <c r="E28" s="161"/>
      <c r="F28" s="161"/>
      <c r="G28" s="161"/>
      <c r="H28" s="161"/>
      <c r="I28" s="161"/>
      <c r="J28" s="270"/>
      <c r="K28" s="270"/>
      <c r="L28" s="270"/>
      <c r="M28" s="161"/>
      <c r="N28" s="327">
        <v>8</v>
      </c>
      <c r="O28" s="524" t="str">
        <f>Eingabe!O$18&amp;": "&amp;Eingabe!O$19</f>
        <v>Maßnahme 8: keine</v>
      </c>
      <c r="P28" s="524"/>
      <c r="Q28" s="524"/>
      <c r="R28" s="151">
        <f>ROUND(SUMIFS(Tabelle75[Betrag Abrechnungs-zeitraum "A"
1. ZWB],Tabelle75[Maß-nahme], $N28),2)</f>
        <v>0</v>
      </c>
      <c r="S28" s="151">
        <f>ROUND(SUMIFS(Tabelle75[Betrag Abrechnungs-zeitraum "B"
2. ZWB], Tabelle75[Maß-nahme], $N28),2)</f>
        <v>0</v>
      </c>
      <c r="T28" s="151">
        <f>ROUND(SUMIFS(Tabelle75[Betrag Abrechnungs-zeitraum "C"
3. ZWB],Tabelle75[Maß-nahme], $N28),2)</f>
        <v>0</v>
      </c>
      <c r="U28" s="151">
        <f>ROUND(SUMIFS(Tabelle75[Betrag Abrechnungs-zeitraum "D"
Endbericht], Tabelle75[Maß-nahme], $N28),2)</f>
        <v>0</v>
      </c>
      <c r="V28" s="306">
        <f>ROUND(SUMIF(Tabelle75[Maß-nahme],N28,Tabelle75[Betrag
Gesamt]),2)</f>
        <v>0</v>
      </c>
      <c r="W28" s="305">
        <f>IF(Eingabe!$Q$45="ja",ROUND(SUMIF(Tabelle75[Maß-nahme],"8",Tabelle75[anerkannter Betrag nach Prüfung der Endabrechnung]),2),Overview!$AA$15)</f>
        <v>0</v>
      </c>
      <c r="X28" s="305">
        <f>IF(Eingabe!$Q$45="ja",SUMIF(Tabelle75[Maß-nahme],"8",Tabelle75[aberkannter Betrag nach Prüfung der Endabrechnung])-SUMIF(Tabelle75[Maß-nahme],"1",Tabelle75[Betrag der Änderung der Aberkennung 
(+ entspricht Zuerkennung)]),Overview!$AA$15)</f>
        <v>0</v>
      </c>
      <c r="Y28" s="161"/>
      <c r="Z28" s="270"/>
      <c r="AA28" s="270"/>
      <c r="AB28" s="270"/>
      <c r="AC28" s="270"/>
      <c r="AD28" s="161"/>
      <c r="AE28" s="161"/>
      <c r="AF28" s="48"/>
    </row>
    <row r="29" spans="2:33" ht="14.15" customHeight="1" x14ac:dyDescent="0.35">
      <c r="B29" s="45"/>
      <c r="C29" s="161"/>
      <c r="D29" s="161"/>
      <c r="E29" s="161"/>
      <c r="F29" s="161"/>
      <c r="G29" s="161"/>
      <c r="H29" s="161"/>
      <c r="I29" s="161"/>
      <c r="J29" s="270"/>
      <c r="K29" s="270"/>
      <c r="L29" s="270"/>
      <c r="M29" s="161"/>
      <c r="N29" s="327">
        <v>9</v>
      </c>
      <c r="O29" s="524" t="str">
        <f>Eingabe!P$18&amp;": "&amp;Eingabe!P$19</f>
        <v>Maßnahme 9: keine</v>
      </c>
      <c r="P29" s="524"/>
      <c r="Q29" s="524"/>
      <c r="R29" s="151">
        <f>ROUND(SUMIFS(Tabelle75[Betrag Abrechnungs-zeitraum "A"
1. ZWB],Tabelle75[Maß-nahme], $N29),2)</f>
        <v>0</v>
      </c>
      <c r="S29" s="151">
        <f>ROUND(SUMIFS(Tabelle75[Betrag Abrechnungs-zeitraum "B"
2. ZWB], Tabelle75[Maß-nahme], $N29),2)</f>
        <v>0</v>
      </c>
      <c r="T29" s="151">
        <f>ROUND(SUMIFS(Tabelle75[Betrag Abrechnungs-zeitraum "C"
3. ZWB],Tabelle75[Maß-nahme], $N29),2)</f>
        <v>0</v>
      </c>
      <c r="U29" s="151">
        <f>ROUND(SUMIFS(Tabelle75[Betrag Abrechnungs-zeitraum "D"
Endbericht], Tabelle75[Maß-nahme], $N29),2)</f>
        <v>0</v>
      </c>
      <c r="V29" s="306">
        <f>ROUND(SUMIF(Tabelle75[Maß-nahme],N29,Tabelle75[Betrag
Gesamt]),2)</f>
        <v>0</v>
      </c>
      <c r="W29" s="305">
        <f>IF(Eingabe!$Q$45="ja",ROUND(SUMIF(Tabelle75[Maß-nahme],"9",Tabelle75[anerkannter Betrag nach Prüfung der Endabrechnung]),2),Overview!$AA$15)</f>
        <v>0</v>
      </c>
      <c r="X29" s="305">
        <f>IF(Eingabe!$Q$45="ja",SUMIF(Tabelle75[Maß-nahme],"9",Tabelle75[aberkannter Betrag nach Prüfung der Endabrechnung])-SUMIF(Tabelle75[Maß-nahme],"1",Tabelle75[Betrag der Änderung der Aberkennung 
(+ entspricht Zuerkennung)]),Overview!$AA$15)</f>
        <v>0</v>
      </c>
      <c r="Y29" s="161"/>
      <c r="Z29" s="270"/>
      <c r="AA29" s="270"/>
      <c r="AB29" s="270"/>
      <c r="AC29" s="270"/>
      <c r="AD29" s="161"/>
      <c r="AE29" s="161"/>
      <c r="AF29" s="48"/>
    </row>
    <row r="30" spans="2:33" ht="14.15" customHeight="1" x14ac:dyDescent="0.35">
      <c r="B30" s="45"/>
      <c r="C30" s="161"/>
      <c r="D30" s="161"/>
      <c r="E30" s="161"/>
      <c r="F30" s="161"/>
      <c r="G30" s="161"/>
      <c r="H30" s="161"/>
      <c r="I30" s="161"/>
      <c r="J30" s="270"/>
      <c r="K30" s="270"/>
      <c r="L30" s="270"/>
      <c r="M30" s="161"/>
      <c r="N30" s="327">
        <v>10</v>
      </c>
      <c r="O30" s="524" t="str">
        <f>Eingabe!Q$18&amp;": "&amp;Eingabe!Q$19</f>
        <v>Maßnahme 10: keine</v>
      </c>
      <c r="P30" s="524"/>
      <c r="Q30" s="524"/>
      <c r="R30" s="151">
        <f>ROUND(SUMIFS(Tabelle75[Betrag Abrechnungs-zeitraum "A"
1. ZWB],Tabelle75[Maß-nahme], $N30),2)</f>
        <v>0</v>
      </c>
      <c r="S30" s="151">
        <f>ROUND(SUMIFS(Tabelle75[Betrag Abrechnungs-zeitraum "B"
2. ZWB], Tabelle75[Maß-nahme], $N30),2)</f>
        <v>0</v>
      </c>
      <c r="T30" s="151">
        <f>ROUND(SUMIFS(Tabelle75[Betrag Abrechnungs-zeitraum "C"
3. ZWB],Tabelle75[Maß-nahme], $N30),2)</f>
        <v>0</v>
      </c>
      <c r="U30" s="151">
        <f>ROUND(SUMIFS(Tabelle75[Betrag Abrechnungs-zeitraum "D"
Endbericht], Tabelle75[Maß-nahme], $N30),2)</f>
        <v>0</v>
      </c>
      <c r="V30" s="306">
        <f>ROUND(SUMIF(Tabelle75[Maß-nahme],N30,Tabelle75[Betrag
Gesamt]),2)</f>
        <v>0</v>
      </c>
      <c r="W30" s="305">
        <f>IF(Eingabe!$Q$45="ja",ROUND(SUMIF(Tabelle75[Maß-nahme],"10",Tabelle75[anerkannter Betrag nach Prüfung der Endabrechnung]),2),Overview!$AA$15)</f>
        <v>0</v>
      </c>
      <c r="X30" s="305">
        <f>IF(Eingabe!$Q$45="ja",SUMIF(Tabelle75[Maß-nahme],"10",Tabelle75[aberkannter Betrag nach Prüfung der Endabrechnung])-SUMIF(Tabelle75[Maß-nahme],"1",Tabelle75[Betrag der Änderung der Aberkennung 
(+ entspricht Zuerkennung)]),Overview!$AA$15)</f>
        <v>0</v>
      </c>
      <c r="Y30" s="161"/>
      <c r="Z30" s="270"/>
      <c r="AA30" s="270"/>
      <c r="AB30" s="270"/>
      <c r="AC30" s="270"/>
      <c r="AD30" s="161"/>
      <c r="AE30" s="161"/>
      <c r="AF30" s="48"/>
    </row>
    <row r="31" spans="2:33" ht="14.15" customHeight="1" x14ac:dyDescent="0.35">
      <c r="B31" s="45"/>
      <c r="C31" s="161"/>
      <c r="D31" s="161"/>
      <c r="E31" s="161"/>
      <c r="F31" s="161"/>
      <c r="G31" s="161"/>
      <c r="H31" s="161"/>
      <c r="I31" s="161"/>
      <c r="J31" s="270"/>
      <c r="K31" s="270"/>
      <c r="L31" s="270"/>
      <c r="M31" s="161"/>
      <c r="N31" s="326"/>
      <c r="O31" s="582" t="s">
        <v>145</v>
      </c>
      <c r="P31" s="582"/>
      <c r="Q31" s="582"/>
      <c r="R31" s="306">
        <f>SUM(R21:R30)</f>
        <v>0</v>
      </c>
      <c r="S31" s="306">
        <f t="shared" ref="S31:U31" si="2">SUM(S21:S30)</f>
        <v>0</v>
      </c>
      <c r="T31" s="306">
        <f t="shared" si="2"/>
        <v>0</v>
      </c>
      <c r="U31" s="306">
        <f t="shared" si="2"/>
        <v>0</v>
      </c>
      <c r="V31" s="306">
        <f>SUM(V21:V30)</f>
        <v>0</v>
      </c>
      <c r="W31" s="306">
        <f>IF(Eingabe!$Q$45="ja",SUM(Tabelle75[anerkannter Betrag nach Prüfung der Endabrechnung]),Overview!$AA$15)</f>
        <v>0</v>
      </c>
      <c r="X31" s="306">
        <f>IF(Eingabe!$Q$45="ja",SUM(Tabelle75[aberkannter Betrag nach Prüfung der Endabrechnung])-SUM(Tabelle75[Betrag der Änderung der Aberkennung 
(+ entspricht Zuerkennung)]),Overview!$AA$15)</f>
        <v>0</v>
      </c>
      <c r="Y31" s="161"/>
      <c r="Z31" s="270"/>
      <c r="AA31" s="270"/>
      <c r="AB31" s="270"/>
      <c r="AC31" s="270"/>
      <c r="AD31" s="161"/>
      <c r="AE31" s="161"/>
      <c r="AF31" s="48"/>
    </row>
    <row r="32" spans="2:33" ht="18.75" customHeight="1" x14ac:dyDescent="0.3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7"/>
    </row>
  </sheetData>
  <sheetProtection password="FFFD" sheet="1" insertRows="0"/>
  <protectedRanges>
    <protectedRange password="CDD2" sqref="AC8:AD17 Y8:AA17 W8:W17" name="Prüfung"/>
  </protectedRanges>
  <mergeCells count="25">
    <mergeCell ref="C5:V5"/>
    <mergeCell ref="W5:AE5"/>
    <mergeCell ref="O6:Q6"/>
    <mergeCell ref="W6:AA6"/>
    <mergeCell ref="AC6:AD6"/>
    <mergeCell ref="D6:N6"/>
    <mergeCell ref="AC3:AD3"/>
    <mergeCell ref="C3:G3"/>
    <mergeCell ref="H3:I3"/>
    <mergeCell ref="M3:N3"/>
    <mergeCell ref="W3:Z3"/>
    <mergeCell ref="AA3:AB3"/>
    <mergeCell ref="O30:Q30"/>
    <mergeCell ref="O31:Q31"/>
    <mergeCell ref="R6:U6"/>
    <mergeCell ref="O25:Q25"/>
    <mergeCell ref="O26:Q26"/>
    <mergeCell ref="O27:Q27"/>
    <mergeCell ref="O28:Q28"/>
    <mergeCell ref="O29:Q29"/>
    <mergeCell ref="O20:Q20"/>
    <mergeCell ref="O21:Q21"/>
    <mergeCell ref="O22:Q22"/>
    <mergeCell ref="O23:Q23"/>
    <mergeCell ref="O24:Q24"/>
  </mergeCells>
  <conditionalFormatting sqref="O8:Q17 W8:W17">
    <cfRule type="containsText" dxfId="219" priority="7" operator="containsText" text="j">
      <formula>NOT(ISERROR(SEARCH("j",O8)))</formula>
    </cfRule>
  </conditionalFormatting>
  <conditionalFormatting sqref="P8:P17">
    <cfRule type="expression" dxfId="218" priority="6">
      <formula>AND(O8="j",NOT(P8="j"))</formula>
    </cfRule>
  </conditionalFormatting>
  <conditionalFormatting sqref="Q8:Q17">
    <cfRule type="expression" dxfId="217" priority="4">
      <formula>AND(O8="j",NOT(Q8="j"))</formula>
    </cfRule>
  </conditionalFormatting>
  <conditionalFormatting sqref="E8:E17">
    <cfRule type="expression" dxfId="216" priority="2">
      <formula>AND(NOT(E8=1),NOT(E8=2),NOT(E8=3),NOT(E8=4),NOT(E8=5),NOT(E8=6),NOT(E8=7),NOT(E8=8),NOT(E8=9),NOT(E8=10),NOT(V8=0))</formula>
    </cfRule>
  </conditionalFormatting>
  <conditionalFormatting sqref="AA8:AA17">
    <cfRule type="containsText" dxfId="215" priority="1" operator="containsText" text="j">
      <formula>NOT(ISERROR(SEARCH("j",AA8)))</formula>
    </cfRule>
  </conditionalFormatting>
  <pageMargins left="0.25" right="0.25" top="0.75" bottom="0.75" header="0.3" footer="0.3"/>
  <pageSetup paperSize="9" scale="24" fitToHeight="0"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3" id="{CA567A75-EAA6-4727-A45C-5E0748D3AB1E}">
            <xm:f>AND(Eingabe!$Q$45="ja",O8="j",NOT(W8="j"))</xm:f>
            <x14:dxf>
              <fill>
                <patternFill>
                  <bgColor theme="5" tint="0.59996337778862885"/>
                </patternFill>
              </fill>
            </x14:dxf>
          </x14:cfRule>
          <xm:sqref>W8:W17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2:X32"/>
  <sheetViews>
    <sheetView showGridLines="0" zoomScaleNormal="100" workbookViewId="0">
      <selection activeCell="D8" sqref="D8"/>
    </sheetView>
  </sheetViews>
  <sheetFormatPr baseColWidth="10" defaultColWidth="11.453125" defaultRowHeight="13" x14ac:dyDescent="0.35"/>
  <cols>
    <col min="1" max="2" width="2.54296875" style="44" customWidth="1"/>
    <col min="3" max="3" width="8.453125" style="44" customWidth="1"/>
    <col min="4" max="4" width="10.6328125" style="44" customWidth="1"/>
    <col min="5" max="5" width="11.08984375" style="44" customWidth="1"/>
    <col min="6" max="6" width="8.453125" style="44" customWidth="1"/>
    <col min="7" max="7" width="15.90625" style="44" customWidth="1"/>
    <col min="8" max="8" width="37.453125" style="44" customWidth="1"/>
    <col min="9" max="9" width="60.90625" style="44" customWidth="1"/>
    <col min="10" max="11" width="20.6328125" style="44" customWidth="1"/>
    <col min="12" max="16" width="14.6328125" style="44" customWidth="1"/>
    <col min="17" max="17" width="45.54296875" style="44" customWidth="1"/>
    <col min="18" max="18" width="10.54296875" style="44" customWidth="1"/>
    <col min="19" max="19" width="45.54296875" style="44" customWidth="1"/>
    <col min="20" max="20" width="20.54296875" style="44" customWidth="1"/>
    <col min="21" max="21" width="45.54296875" style="44" customWidth="1"/>
    <col min="22" max="22" width="9.453125" style="44" customWidth="1"/>
    <col min="23" max="23" width="2.54296875" style="44" customWidth="1"/>
    <col min="24" max="16384" width="11.453125" style="44"/>
  </cols>
  <sheetData>
    <row r="2" spans="2:23" ht="18.75" customHeight="1" x14ac:dyDescent="0.35">
      <c r="B2" s="40"/>
      <c r="C2" s="41"/>
      <c r="D2" s="41"/>
      <c r="E2" s="41"/>
      <c r="F2" s="41"/>
      <c r="G2" s="41"/>
      <c r="H2" s="41"/>
      <c r="I2" s="41"/>
      <c r="J2" s="41"/>
      <c r="K2" s="41"/>
      <c r="L2" s="41"/>
      <c r="M2" s="41"/>
      <c r="N2" s="41"/>
      <c r="O2" s="42"/>
      <c r="P2" s="42"/>
      <c r="Q2" s="42"/>
      <c r="R2" s="42"/>
      <c r="S2" s="42"/>
      <c r="T2" s="42"/>
      <c r="U2" s="42"/>
      <c r="V2" s="42"/>
      <c r="W2" s="43"/>
    </row>
    <row r="3" spans="2:23" ht="22.5" customHeight="1" x14ac:dyDescent="0.35">
      <c r="B3" s="45"/>
      <c r="C3" s="583" t="s">
        <v>15</v>
      </c>
      <c r="D3" s="583"/>
      <c r="E3" s="583"/>
      <c r="F3" s="583"/>
      <c r="G3" s="583"/>
      <c r="H3" s="583"/>
      <c r="I3" s="162"/>
      <c r="J3" s="46"/>
      <c r="K3" s="46"/>
      <c r="L3" s="46"/>
      <c r="M3" s="46"/>
      <c r="N3" s="583"/>
      <c r="O3" s="583"/>
      <c r="P3" s="583"/>
      <c r="Q3" s="583"/>
      <c r="R3" s="591"/>
      <c r="S3" s="591"/>
      <c r="T3" s="592"/>
      <c r="U3" s="592"/>
      <c r="V3" s="161"/>
      <c r="W3" s="48"/>
    </row>
    <row r="4" spans="2:23" ht="21.5" thickBot="1" x14ac:dyDescent="0.4">
      <c r="B4" s="45"/>
      <c r="C4" s="161"/>
      <c r="D4" s="161"/>
      <c r="E4" s="161"/>
      <c r="F4" s="161"/>
      <c r="G4" s="161"/>
      <c r="H4" s="161"/>
      <c r="I4" s="161"/>
      <c r="J4" s="161"/>
      <c r="K4" s="161"/>
      <c r="L4" s="161"/>
      <c r="M4" s="161"/>
      <c r="N4" s="161"/>
      <c r="O4" s="49"/>
      <c r="P4" s="49"/>
      <c r="Q4" s="49"/>
      <c r="R4" s="49"/>
      <c r="S4" s="49"/>
      <c r="T4" s="49"/>
      <c r="U4" s="161"/>
      <c r="V4" s="161"/>
      <c r="W4" s="48"/>
    </row>
    <row r="5" spans="2:23" ht="15.75" customHeight="1" x14ac:dyDescent="0.35">
      <c r="B5" s="45"/>
      <c r="C5" s="586" t="s">
        <v>15</v>
      </c>
      <c r="D5" s="587"/>
      <c r="E5" s="587"/>
      <c r="F5" s="587"/>
      <c r="G5" s="587"/>
      <c r="H5" s="587"/>
      <c r="I5" s="587"/>
      <c r="J5" s="587"/>
      <c r="K5" s="587"/>
      <c r="L5" s="587"/>
      <c r="M5" s="588"/>
      <c r="N5" s="584" t="str">
        <f>C5 &amp; " - Prüfung"</f>
        <v>b) Reisekosten - Prüfung</v>
      </c>
      <c r="O5" s="584"/>
      <c r="P5" s="584"/>
      <c r="Q5" s="584"/>
      <c r="R5" s="584"/>
      <c r="S5" s="584"/>
      <c r="T5" s="584"/>
      <c r="U5" s="584"/>
      <c r="V5" s="585"/>
      <c r="W5" s="48"/>
    </row>
    <row r="6" spans="2:23" ht="15.75" customHeight="1" thickBot="1" x14ac:dyDescent="0.4">
      <c r="B6" s="45"/>
      <c r="C6" s="276"/>
      <c r="D6" s="605" t="s">
        <v>104</v>
      </c>
      <c r="E6" s="597"/>
      <c r="F6" s="597"/>
      <c r="G6" s="597"/>
      <c r="H6" s="597"/>
      <c r="I6" s="597"/>
      <c r="J6" s="597"/>
      <c r="K6" s="606"/>
      <c r="L6" s="302" t="s">
        <v>148</v>
      </c>
      <c r="M6" s="80"/>
      <c r="N6" s="589" t="s">
        <v>91</v>
      </c>
      <c r="O6" s="589"/>
      <c r="P6" s="589"/>
      <c r="Q6" s="589"/>
      <c r="R6" s="590"/>
      <c r="S6" s="60" t="s">
        <v>90</v>
      </c>
      <c r="T6" s="593" t="s">
        <v>91</v>
      </c>
      <c r="U6" s="594"/>
      <c r="V6" s="66"/>
      <c r="W6" s="48"/>
    </row>
    <row r="7" spans="2:23" ht="60" customHeight="1" x14ac:dyDescent="0.35">
      <c r="B7" s="45"/>
      <c r="C7" s="72" t="s">
        <v>9</v>
      </c>
      <c r="D7" s="100" t="s">
        <v>77</v>
      </c>
      <c r="E7" s="100" t="s">
        <v>114</v>
      </c>
      <c r="F7" s="100" t="s">
        <v>115</v>
      </c>
      <c r="G7" s="303" t="s">
        <v>7</v>
      </c>
      <c r="H7" s="303" t="s">
        <v>101</v>
      </c>
      <c r="I7" s="303" t="s">
        <v>92</v>
      </c>
      <c r="J7" s="303" t="s">
        <v>147</v>
      </c>
      <c r="K7" s="303" t="s">
        <v>172</v>
      </c>
      <c r="L7" s="79" t="s">
        <v>52</v>
      </c>
      <c r="M7" s="331" t="s">
        <v>36</v>
      </c>
      <c r="N7" s="296" t="s">
        <v>59</v>
      </c>
      <c r="O7" s="279" t="s">
        <v>151</v>
      </c>
      <c r="P7" s="280" t="s">
        <v>152</v>
      </c>
      <c r="Q7" s="281" t="s">
        <v>40</v>
      </c>
      <c r="R7" s="282" t="s">
        <v>57</v>
      </c>
      <c r="S7" s="283" t="s">
        <v>89</v>
      </c>
      <c r="T7" s="280" t="s">
        <v>54</v>
      </c>
      <c r="U7" s="281" t="s">
        <v>48</v>
      </c>
      <c r="V7" s="59" t="s">
        <v>95</v>
      </c>
      <c r="W7" s="48"/>
    </row>
    <row r="8" spans="2:23" ht="14.5" x14ac:dyDescent="0.35">
      <c r="B8" s="45"/>
      <c r="C8" s="92" t="str">
        <f>"b."&amp;ROW()-7</f>
        <v>b.1</v>
      </c>
      <c r="D8" s="93"/>
      <c r="E8" s="93"/>
      <c r="F8" s="93"/>
      <c r="G8" s="410"/>
      <c r="H8" s="76"/>
      <c r="I8" s="76"/>
      <c r="J8" s="76"/>
      <c r="K8" s="76"/>
      <c r="L8" s="76"/>
      <c r="M8" s="163"/>
      <c r="N8" s="297"/>
      <c r="O8" s="83">
        <f>IF(Eingabe!$Q$45="ja", M8-P8+T8,Overview!$AA$15)</f>
        <v>0</v>
      </c>
      <c r="P8" s="84"/>
      <c r="Q8" s="85"/>
      <c r="R8" s="86"/>
      <c r="S8" s="87"/>
      <c r="T8" s="82"/>
      <c r="U8" s="85"/>
      <c r="V8" s="285" t="str">
        <f>C8</f>
        <v>b.1</v>
      </c>
      <c r="W8" s="48"/>
    </row>
    <row r="9" spans="2:23" ht="14.5" x14ac:dyDescent="0.35">
      <c r="B9" s="45"/>
      <c r="C9" s="92" t="str">
        <f t="shared" ref="C9:C17" si="0">"b."&amp;ROW()-7</f>
        <v>b.2</v>
      </c>
      <c r="D9" s="93"/>
      <c r="E9" s="93"/>
      <c r="F9" s="93"/>
      <c r="G9" s="410"/>
      <c r="H9" s="76"/>
      <c r="I9" s="76"/>
      <c r="J9" s="76"/>
      <c r="K9" s="76"/>
      <c r="L9" s="76"/>
      <c r="M9" s="163"/>
      <c r="N9" s="297"/>
      <c r="O9" s="378">
        <f>IF(Eingabe!$Q$45="ja", M9-P9+T9,Overview!$AA$15)</f>
        <v>0</v>
      </c>
      <c r="P9" s="84"/>
      <c r="Q9" s="85"/>
      <c r="R9" s="86"/>
      <c r="S9" s="87"/>
      <c r="T9" s="82"/>
      <c r="U9" s="85"/>
      <c r="V9" s="286" t="str">
        <f>C9</f>
        <v>b.2</v>
      </c>
      <c r="W9" s="48"/>
    </row>
    <row r="10" spans="2:23" ht="14.5" x14ac:dyDescent="0.35">
      <c r="B10" s="45"/>
      <c r="C10" s="92" t="str">
        <f t="shared" si="0"/>
        <v>b.3</v>
      </c>
      <c r="D10" s="93"/>
      <c r="E10" s="93"/>
      <c r="F10" s="93"/>
      <c r="G10" s="410"/>
      <c r="H10" s="99"/>
      <c r="I10" s="76"/>
      <c r="J10" s="76"/>
      <c r="K10" s="76"/>
      <c r="L10" s="76"/>
      <c r="M10" s="163"/>
      <c r="N10" s="297"/>
      <c r="O10" s="378">
        <f>IF(Eingabe!$Q$45="ja", M10-P10+T10,Overview!$AA$15)</f>
        <v>0</v>
      </c>
      <c r="P10" s="84"/>
      <c r="Q10" s="85"/>
      <c r="R10" s="86"/>
      <c r="S10" s="87"/>
      <c r="T10" s="82"/>
      <c r="U10" s="85"/>
      <c r="V10" s="286" t="str">
        <f>C10</f>
        <v>b.3</v>
      </c>
      <c r="W10" s="48"/>
    </row>
    <row r="11" spans="2:23" ht="14.5" x14ac:dyDescent="0.35">
      <c r="B11" s="45"/>
      <c r="C11" s="92" t="str">
        <f t="shared" si="0"/>
        <v>b.4</v>
      </c>
      <c r="D11" s="275"/>
      <c r="E11" s="93"/>
      <c r="F11" s="275"/>
      <c r="G11" s="411"/>
      <c r="H11" s="76"/>
      <c r="I11" s="99"/>
      <c r="J11" s="99"/>
      <c r="K11" s="99"/>
      <c r="L11" s="76"/>
      <c r="M11" s="164"/>
      <c r="N11" s="298"/>
      <c r="O11" s="378">
        <f>IF(Eingabe!$Q$45="ja", M11-P11+T11,Overview!$AA$15)</f>
        <v>0</v>
      </c>
      <c r="P11" s="145"/>
      <c r="Q11" s="146"/>
      <c r="R11" s="147"/>
      <c r="S11" s="148"/>
      <c r="T11" s="149"/>
      <c r="U11" s="146"/>
      <c r="V11" s="287" t="str">
        <f t="shared" ref="V11:V16" si="1">C11</f>
        <v>b.4</v>
      </c>
      <c r="W11" s="48"/>
    </row>
    <row r="12" spans="2:23" ht="14.5" x14ac:dyDescent="0.35">
      <c r="B12" s="45"/>
      <c r="C12" s="92" t="str">
        <f t="shared" si="0"/>
        <v>b.5</v>
      </c>
      <c r="D12" s="93"/>
      <c r="E12" s="93"/>
      <c r="F12" s="93"/>
      <c r="G12" s="410"/>
      <c r="H12" s="76"/>
      <c r="I12" s="76"/>
      <c r="J12" s="76"/>
      <c r="K12" s="76"/>
      <c r="L12" s="76"/>
      <c r="M12" s="163"/>
      <c r="N12" s="297"/>
      <c r="O12" s="378">
        <f>IF(Eingabe!$Q$45="ja", M12-P12+T12,Overview!$AA$15)</f>
        <v>0</v>
      </c>
      <c r="P12" s="84"/>
      <c r="Q12" s="85"/>
      <c r="R12" s="86"/>
      <c r="S12" s="87"/>
      <c r="T12" s="82"/>
      <c r="U12" s="85"/>
      <c r="V12" s="286" t="str">
        <f t="shared" si="1"/>
        <v>b.5</v>
      </c>
      <c r="W12" s="48"/>
    </row>
    <row r="13" spans="2:23" ht="14.5" x14ac:dyDescent="0.35">
      <c r="B13" s="45"/>
      <c r="C13" s="92" t="str">
        <f t="shared" si="0"/>
        <v>b.6</v>
      </c>
      <c r="D13" s="93"/>
      <c r="E13" s="93"/>
      <c r="F13" s="93"/>
      <c r="G13" s="410"/>
      <c r="H13" s="76"/>
      <c r="I13" s="76"/>
      <c r="J13" s="76"/>
      <c r="K13" s="76"/>
      <c r="L13" s="76"/>
      <c r="M13" s="163"/>
      <c r="N13" s="297"/>
      <c r="O13" s="378">
        <f>IF(Eingabe!$Q$45="ja", M13-P13+T13,Overview!$AA$15)</f>
        <v>0</v>
      </c>
      <c r="P13" s="84"/>
      <c r="Q13" s="85"/>
      <c r="R13" s="86"/>
      <c r="S13" s="87"/>
      <c r="T13" s="82"/>
      <c r="U13" s="85"/>
      <c r="V13" s="286" t="str">
        <f t="shared" si="1"/>
        <v>b.6</v>
      </c>
      <c r="W13" s="48"/>
    </row>
    <row r="14" spans="2:23" ht="14.5" x14ac:dyDescent="0.35">
      <c r="B14" s="45"/>
      <c r="C14" s="92" t="str">
        <f t="shared" si="0"/>
        <v>b.7</v>
      </c>
      <c r="D14" s="93"/>
      <c r="E14" s="93"/>
      <c r="F14" s="93"/>
      <c r="G14" s="410"/>
      <c r="H14" s="76"/>
      <c r="I14" s="76"/>
      <c r="J14" s="76"/>
      <c r="K14" s="76"/>
      <c r="L14" s="76"/>
      <c r="M14" s="77"/>
      <c r="N14" s="297"/>
      <c r="O14" s="378">
        <f>IF(Eingabe!$Q$45="ja", M14-P14+T14,Overview!$AA$15)</f>
        <v>0</v>
      </c>
      <c r="P14" s="150"/>
      <c r="Q14" s="88"/>
      <c r="R14" s="89"/>
      <c r="S14" s="90"/>
      <c r="T14" s="91"/>
      <c r="U14" s="88"/>
      <c r="V14" s="286" t="str">
        <f>C14</f>
        <v>b.7</v>
      </c>
      <c r="W14" s="48"/>
    </row>
    <row r="15" spans="2:23" ht="14.5" x14ac:dyDescent="0.35">
      <c r="B15" s="45"/>
      <c r="C15" s="92" t="str">
        <f t="shared" si="0"/>
        <v>b.8</v>
      </c>
      <c r="D15" s="93"/>
      <c r="E15" s="93"/>
      <c r="F15" s="93"/>
      <c r="G15" s="410"/>
      <c r="H15" s="76"/>
      <c r="I15" s="76"/>
      <c r="J15" s="76"/>
      <c r="K15" s="76"/>
      <c r="L15" s="76"/>
      <c r="M15" s="77"/>
      <c r="N15" s="297"/>
      <c r="O15" s="378">
        <f>IF(Eingabe!$Q$45="ja", M15-P15+T15,Overview!$AA$15)</f>
        <v>0</v>
      </c>
      <c r="P15" s="150"/>
      <c r="Q15" s="88"/>
      <c r="R15" s="89"/>
      <c r="S15" s="90"/>
      <c r="T15" s="91"/>
      <c r="U15" s="88"/>
      <c r="V15" s="286" t="str">
        <f>C15</f>
        <v>b.8</v>
      </c>
      <c r="W15" s="48"/>
    </row>
    <row r="16" spans="2:23" ht="14.5" x14ac:dyDescent="0.35">
      <c r="B16" s="45"/>
      <c r="C16" s="92" t="str">
        <f t="shared" si="0"/>
        <v>b.9</v>
      </c>
      <c r="D16" s="93"/>
      <c r="E16" s="93"/>
      <c r="F16" s="93"/>
      <c r="G16" s="410"/>
      <c r="H16" s="76"/>
      <c r="I16" s="76"/>
      <c r="J16" s="76"/>
      <c r="K16" s="76"/>
      <c r="L16" s="76"/>
      <c r="M16" s="163"/>
      <c r="N16" s="297"/>
      <c r="O16" s="378">
        <f>IF(Eingabe!$Q$45="ja", M16-P16+T16,Overview!$AA$15)</f>
        <v>0</v>
      </c>
      <c r="P16" s="84"/>
      <c r="Q16" s="85"/>
      <c r="R16" s="86"/>
      <c r="S16" s="87"/>
      <c r="T16" s="82"/>
      <c r="U16" s="85"/>
      <c r="V16" s="286" t="str">
        <f t="shared" si="1"/>
        <v>b.9</v>
      </c>
      <c r="W16" s="48"/>
    </row>
    <row r="17" spans="2:24" ht="26.5" thickBot="1" x14ac:dyDescent="0.4">
      <c r="B17" s="45"/>
      <c r="C17" s="263" t="str">
        <f t="shared" si="0"/>
        <v>b.10</v>
      </c>
      <c r="D17" s="64"/>
      <c r="E17" s="64"/>
      <c r="F17" s="64"/>
      <c r="G17" s="412"/>
      <c r="H17" s="65" t="s">
        <v>96</v>
      </c>
      <c r="I17" s="65"/>
      <c r="J17" s="65"/>
      <c r="K17" s="65"/>
      <c r="L17" s="65"/>
      <c r="M17" s="67"/>
      <c r="N17" s="299"/>
      <c r="O17" s="378">
        <f>IF(Eingabe!$Q$45="ja", M17-P17+T17,Overview!$AA$15)</f>
        <v>0</v>
      </c>
      <c r="P17" s="290"/>
      <c r="Q17" s="291"/>
      <c r="R17" s="292"/>
      <c r="S17" s="293"/>
      <c r="T17" s="294"/>
      <c r="U17" s="291"/>
      <c r="V17" s="295" t="str">
        <f>C17</f>
        <v>b.10</v>
      </c>
      <c r="W17" s="48"/>
    </row>
    <row r="18" spans="2:24" ht="14.5" x14ac:dyDescent="0.35">
      <c r="B18" s="45"/>
      <c r="C18" s="161"/>
      <c r="D18" s="161"/>
      <c r="E18" s="161"/>
      <c r="F18" s="161"/>
      <c r="G18" s="161"/>
      <c r="H18" s="54"/>
      <c r="I18" s="54"/>
      <c r="J18" s="54"/>
      <c r="K18" s="54"/>
      <c r="L18" s="262">
        <f>SUMIF(Tabelle76[Beleg vorgelegt (j/n)],"j",Tabelle76[Betrag])</f>
        <v>0</v>
      </c>
      <c r="M18" s="62"/>
      <c r="N18" s="277">
        <f>SUMIF(Tabelle76[Beleg geprüft
(j)],"j",Tabelle76[anerkannter Betrag nach Prüfung der Endabrechnung])</f>
        <v>0</v>
      </c>
      <c r="O18" s="51"/>
      <c r="P18" s="51"/>
      <c r="Q18" s="52"/>
      <c r="R18" s="52"/>
      <c r="S18" s="52"/>
      <c r="T18" s="52"/>
      <c r="U18" s="52"/>
      <c r="V18" s="52"/>
      <c r="W18" s="48"/>
      <c r="X18" s="53"/>
    </row>
    <row r="19" spans="2:24" ht="14.15" customHeight="1" x14ac:dyDescent="0.35">
      <c r="B19" s="45"/>
      <c r="C19" s="161"/>
      <c r="D19" s="161"/>
      <c r="E19" s="161"/>
      <c r="F19" s="161"/>
      <c r="G19" s="161"/>
      <c r="H19" s="161"/>
      <c r="I19" s="158"/>
      <c r="J19" s="158"/>
      <c r="K19" s="158"/>
      <c r="L19" s="158"/>
      <c r="M19" s="156"/>
      <c r="N19" s="155"/>
      <c r="O19" s="156"/>
      <c r="P19" s="156"/>
      <c r="Q19" s="157"/>
      <c r="R19" s="52"/>
      <c r="S19" s="52"/>
      <c r="T19" s="52"/>
      <c r="U19" s="52"/>
      <c r="V19" s="52"/>
      <c r="W19" s="48"/>
      <c r="X19" s="53"/>
    </row>
    <row r="20" spans="2:24" ht="14.15" customHeight="1" x14ac:dyDescent="0.35">
      <c r="B20" s="45"/>
      <c r="C20" s="161"/>
      <c r="D20" s="161"/>
      <c r="E20" s="161"/>
      <c r="F20" s="161"/>
      <c r="G20" s="161"/>
      <c r="H20" s="161"/>
      <c r="I20" s="159"/>
      <c r="J20" s="159" t="s">
        <v>140</v>
      </c>
      <c r="K20" s="159" t="s">
        <v>142</v>
      </c>
      <c r="L20" s="159" t="s">
        <v>141</v>
      </c>
      <c r="M20" s="159" t="s">
        <v>143</v>
      </c>
      <c r="N20" s="159" t="s">
        <v>144</v>
      </c>
      <c r="O20" s="159" t="s">
        <v>162</v>
      </c>
      <c r="P20" s="159" t="s">
        <v>163</v>
      </c>
      <c r="Q20" s="270"/>
      <c r="R20" s="161"/>
      <c r="S20" s="161"/>
      <c r="T20" s="161"/>
      <c r="U20" s="161"/>
      <c r="V20" s="161"/>
      <c r="W20" s="48"/>
    </row>
    <row r="21" spans="2:24" ht="14.15" customHeight="1" x14ac:dyDescent="0.35">
      <c r="B21" s="45"/>
      <c r="C21" s="161"/>
      <c r="D21" s="161"/>
      <c r="E21" s="161"/>
      <c r="F21" s="161"/>
      <c r="G21" s="161"/>
      <c r="H21" s="161"/>
      <c r="I21" s="160" t="str">
        <f>Eingabe!H$18&amp;": "&amp;Eingabe!H$19</f>
        <v>Maßnahme 1: Titel</v>
      </c>
      <c r="J21" s="151">
        <f>ROUND(SUMIFS(Tabelle76[Betrag],Tabelle76[Abrechnungs-zeitraum],"A", Tabelle76[Maß-nahme], 1),2)</f>
        <v>0</v>
      </c>
      <c r="K21" s="151">
        <f>ROUND(SUMIFS(Tabelle76[Betrag],Tabelle76[Abrechnungs-zeitraum],"B", Tabelle76[Maß-nahme], 1),2)</f>
        <v>0</v>
      </c>
      <c r="L21" s="151">
        <f>ROUND(SUMIFS(Tabelle76[Betrag],Tabelle76[Abrechnungs-zeitraum],"C", Tabelle76[Maß-nahme], 1),2)</f>
        <v>0</v>
      </c>
      <c r="M21" s="151">
        <f>ROUND(SUMIFS(Tabelle76[Betrag],Tabelle76[Abrechnungs-zeitraum],"D", Tabelle76[Maß-nahme], 1),2)</f>
        <v>0</v>
      </c>
      <c r="N21" s="306">
        <f>ROUND(SUMIF(Tabelle76[Maß-nahme],"1",Tabelle76[Betrag]),2)</f>
        <v>0</v>
      </c>
      <c r="O21" s="305">
        <f>IF(Eingabe!Q45="ja",ROUND(SUMIF(Tabelle76[Maß-nahme],"1",Tabelle76[anerkannter Betrag nach Prüfung der Endabrechnung]),2),Overview!$AA$15)</f>
        <v>0</v>
      </c>
      <c r="P21" s="305">
        <f>IF(Eingabe!Q45="ja", SUMIF(Tabelle76[Maß-nahme],"1",Tabelle76[aberkannter Betrag nach Prüfung der Endabrechnung])-SUMIF(Tabelle76[Maß-nahme],"1",Tabelle76[Betrag der Änderung der Aberkennung 
(+ entspricht Zuerkennung)]),Overview!$AA$15)</f>
        <v>0</v>
      </c>
      <c r="Q21" s="161"/>
      <c r="R21" s="161"/>
      <c r="S21" s="161"/>
      <c r="T21" s="161"/>
      <c r="U21" s="161"/>
      <c r="V21" s="161"/>
      <c r="W21" s="48"/>
    </row>
    <row r="22" spans="2:24" ht="14.15" customHeight="1" x14ac:dyDescent="0.35">
      <c r="B22" s="45"/>
      <c r="C22" s="161"/>
      <c r="D22" s="161"/>
      <c r="E22" s="161"/>
      <c r="F22" s="161"/>
      <c r="G22" s="161"/>
      <c r="H22" s="161"/>
      <c r="I22" s="160" t="str">
        <f>Eingabe!I$18&amp;": "&amp;Eingabe!I$19</f>
        <v>Maßnahme 2: keine</v>
      </c>
      <c r="J22" s="151">
        <f>ROUND(SUMIFS(Tabelle76[Betrag],Tabelle76[Abrechnungs-zeitraum],"A", Tabelle76[Maß-nahme], 2),2)</f>
        <v>0</v>
      </c>
      <c r="K22" s="151">
        <f>ROUND(SUMIFS(Tabelle76[Betrag],Tabelle76[Abrechnungs-zeitraum],"B", Tabelle76[Maß-nahme], 2),2)</f>
        <v>0</v>
      </c>
      <c r="L22" s="151">
        <f>ROUND(SUMIFS(Tabelle76[Betrag],Tabelle76[Abrechnungs-zeitraum],"C", Tabelle76[Maß-nahme], 2),2)</f>
        <v>0</v>
      </c>
      <c r="M22" s="151">
        <f>ROUND(SUMIFS(Tabelle76[Betrag],Tabelle76[Abrechnungs-zeitraum],"D", Tabelle76[Maß-nahme], 2),2)</f>
        <v>0</v>
      </c>
      <c r="N22" s="306">
        <f>ROUND(SUMIF(Tabelle76[Maß-nahme],"2",Tabelle76[Betrag]),2)</f>
        <v>0</v>
      </c>
      <c r="O22" s="305">
        <f>IF(Eingabe!Q45="ja",ROUND(SUMIF(Tabelle76[Maß-nahme],"2",Tabelle76[anerkannter Betrag nach Prüfung der Endabrechnung]),2),Overview!$AA$15)</f>
        <v>0</v>
      </c>
      <c r="P22" s="305">
        <f>IF(Eingabe!Q45="ja", SUMIF(Tabelle76[Maß-nahme],"2",Tabelle76[aberkannter Betrag nach Prüfung der Endabrechnung])-SUMIF(Tabelle76[Maß-nahme],"2",Tabelle76[Betrag der Änderung der Aberkennung 
(+ entspricht Zuerkennung)]),Overview!$AA$15)</f>
        <v>0</v>
      </c>
      <c r="Q22" s="161"/>
      <c r="R22" s="161"/>
      <c r="S22" s="161"/>
      <c r="T22" s="161"/>
      <c r="U22" s="161"/>
      <c r="V22" s="161"/>
      <c r="W22" s="48"/>
    </row>
    <row r="23" spans="2:24" ht="14.15" customHeight="1" x14ac:dyDescent="0.35">
      <c r="B23" s="45"/>
      <c r="C23" s="161"/>
      <c r="D23" s="161"/>
      <c r="E23" s="161"/>
      <c r="F23" s="161"/>
      <c r="G23" s="161"/>
      <c r="H23" s="161"/>
      <c r="I23" s="160" t="str">
        <f>Eingabe!J$18&amp;": "&amp;Eingabe!J$19</f>
        <v>Maßnahme 3: keine</v>
      </c>
      <c r="J23" s="151">
        <f>ROUND(SUMIFS(Tabelle76[Betrag],Tabelle76[Abrechnungs-zeitraum],"A", Tabelle76[Maß-nahme], 3),2)</f>
        <v>0</v>
      </c>
      <c r="K23" s="151">
        <f>ROUND(SUMIFS(Tabelle76[Betrag],Tabelle76[Abrechnungs-zeitraum],"B", Tabelle76[Maß-nahme], 3),2)</f>
        <v>0</v>
      </c>
      <c r="L23" s="151">
        <f>ROUND(SUMIFS(Tabelle76[Betrag],Tabelle76[Abrechnungs-zeitraum],"C", Tabelle76[Maß-nahme], 3),2)</f>
        <v>0</v>
      </c>
      <c r="M23" s="151">
        <f>ROUND(SUMIFS(Tabelle76[Betrag],Tabelle76[Abrechnungs-zeitraum],"D", Tabelle76[Maß-nahme], 3),2)</f>
        <v>0</v>
      </c>
      <c r="N23" s="306">
        <f>ROUND(SUMIF(Tabelle76[Maß-nahme],"3",Tabelle76[Betrag]),2)</f>
        <v>0</v>
      </c>
      <c r="O23" s="305">
        <f>IF(Eingabe!Q45="ja",ROUND(SUMIF(Tabelle76[Maß-nahme],"3",Tabelle76[anerkannter Betrag nach Prüfung der Endabrechnung]),2),Overview!$AA$15)</f>
        <v>0</v>
      </c>
      <c r="P23" s="305">
        <f>IF(Eingabe!Q45="ja", SUMIF(Tabelle76[Maß-nahme],"3",Tabelle76[aberkannter Betrag nach Prüfung der Endabrechnung])-SUMIF(Tabelle76[Maß-nahme],"3",Tabelle76[Betrag der Änderung der Aberkennung 
(+ entspricht Zuerkennung)]),Overview!$AA$15)</f>
        <v>0</v>
      </c>
      <c r="Q23" s="161"/>
      <c r="R23" s="161"/>
      <c r="S23" s="161"/>
      <c r="T23" s="161"/>
      <c r="U23" s="161"/>
      <c r="V23" s="161"/>
      <c r="W23" s="48"/>
    </row>
    <row r="24" spans="2:24" ht="14.15" customHeight="1" x14ac:dyDescent="0.35">
      <c r="B24" s="45"/>
      <c r="C24" s="161"/>
      <c r="D24" s="161"/>
      <c r="E24" s="161"/>
      <c r="F24" s="161"/>
      <c r="G24" s="161"/>
      <c r="H24" s="161"/>
      <c r="I24" s="160" t="str">
        <f>Eingabe!K$18&amp;": "&amp;Eingabe!K$19</f>
        <v>Maßnahme 4: keine</v>
      </c>
      <c r="J24" s="151">
        <f>ROUND(SUMIFS(Tabelle76[Betrag],Tabelle76[Abrechnungs-zeitraum],"A", Tabelle76[Maß-nahme], 4),2)</f>
        <v>0</v>
      </c>
      <c r="K24" s="151">
        <f>ROUND(SUMIFS(Tabelle76[Betrag],Tabelle76[Abrechnungs-zeitraum],"B", Tabelle76[Maß-nahme], 4),2)</f>
        <v>0</v>
      </c>
      <c r="L24" s="151">
        <f>ROUND(SUMIFS(Tabelle76[Betrag],Tabelle76[Abrechnungs-zeitraum],"C", Tabelle76[Maß-nahme], 4),2)</f>
        <v>0</v>
      </c>
      <c r="M24" s="151">
        <f>ROUND(SUMIFS(Tabelle76[Betrag],Tabelle76[Abrechnungs-zeitraum],"D", Tabelle76[Maß-nahme], 4),2)</f>
        <v>0</v>
      </c>
      <c r="N24" s="306">
        <f>ROUND(SUMIF(Tabelle76[Maß-nahme],"4",Tabelle76[Betrag]),2)</f>
        <v>0</v>
      </c>
      <c r="O24" s="305">
        <f>IF(Eingabe!Q45="ja", ROUND(SUMIF(Tabelle76[Maß-nahme],"4",Tabelle76[anerkannter Betrag nach Prüfung der Endabrechnung]),2),Overview!$AA$15)</f>
        <v>0</v>
      </c>
      <c r="P24" s="305">
        <f>IF(Eingabe!Q45="ja", SUMIF(Tabelle76[Maß-nahme],"4",Tabelle76[aberkannter Betrag nach Prüfung der Endabrechnung])-SUMIF(Tabelle76[Maß-nahme],"4",Tabelle76[Betrag der Änderung der Aberkennung 
(+ entspricht Zuerkennung)]),Overview!$AA$15)</f>
        <v>0</v>
      </c>
      <c r="Q24" s="161"/>
      <c r="R24" s="161"/>
      <c r="S24" s="161"/>
      <c r="T24" s="161"/>
      <c r="U24" s="161"/>
      <c r="V24" s="161"/>
      <c r="W24" s="48"/>
    </row>
    <row r="25" spans="2:24" ht="14.15" customHeight="1" x14ac:dyDescent="0.35">
      <c r="B25" s="45"/>
      <c r="C25" s="161"/>
      <c r="D25" s="161"/>
      <c r="E25" s="161"/>
      <c r="F25" s="161"/>
      <c r="G25" s="161"/>
      <c r="H25" s="161"/>
      <c r="I25" s="160" t="str">
        <f>Eingabe!L$18&amp;": "&amp;Eingabe!L$19</f>
        <v>Maßnahme 5: keine</v>
      </c>
      <c r="J25" s="151">
        <f>ROUND(SUMIFS(Tabelle76[Betrag],Tabelle76[Abrechnungs-zeitraum],"A", Tabelle76[Maß-nahme], 5),2)</f>
        <v>0</v>
      </c>
      <c r="K25" s="151">
        <f>ROUND(SUMIFS(Tabelle76[Betrag],Tabelle76[Abrechnungs-zeitraum],"B", Tabelle76[Maß-nahme], 5),2)</f>
        <v>0</v>
      </c>
      <c r="L25" s="151">
        <f>ROUND(SUMIFS(Tabelle76[Betrag],Tabelle76[Abrechnungs-zeitraum],"C", Tabelle76[Maß-nahme], 5),2)</f>
        <v>0</v>
      </c>
      <c r="M25" s="151">
        <f>ROUND(SUMIFS(Tabelle76[Betrag],Tabelle76[Abrechnungs-zeitraum],"D", Tabelle76[Maß-nahme], 5),2)</f>
        <v>0</v>
      </c>
      <c r="N25" s="306">
        <f>ROUND(SUMIF(Tabelle76[Maß-nahme],"5",Tabelle76[Betrag]),2)</f>
        <v>0</v>
      </c>
      <c r="O25" s="305">
        <f>IF(Eingabe!Q45="ja", ROUND(SUMIF(Tabelle76[Maß-nahme],"5",Tabelle76[anerkannter Betrag nach Prüfung der Endabrechnung]),2),Overview!$AA$15)</f>
        <v>0</v>
      </c>
      <c r="P25" s="305">
        <f>IF(Eingabe!Q45="ja", SUMIF(Tabelle76[Maß-nahme],"5",Tabelle76[aberkannter Betrag nach Prüfung der Endabrechnung])-SUMIF(Tabelle76[Maß-nahme],"5",Tabelle76[Betrag der Änderung der Aberkennung 
(+ entspricht Zuerkennung)]),Overview!$AA$15)</f>
        <v>0</v>
      </c>
      <c r="Q25" s="161"/>
      <c r="R25" s="161"/>
      <c r="S25" s="161"/>
      <c r="T25" s="161"/>
      <c r="U25" s="161"/>
      <c r="V25" s="161"/>
      <c r="W25" s="48"/>
    </row>
    <row r="26" spans="2:24" ht="14.15" customHeight="1" x14ac:dyDescent="0.35">
      <c r="B26" s="45"/>
      <c r="C26" s="161"/>
      <c r="D26" s="161"/>
      <c r="E26" s="161"/>
      <c r="F26" s="161"/>
      <c r="G26" s="161"/>
      <c r="H26" s="161"/>
      <c r="I26" s="160" t="str">
        <f>Eingabe!M$18&amp;": "&amp;Eingabe!M$19</f>
        <v>Maßnahme 6: keine</v>
      </c>
      <c r="J26" s="151">
        <f>ROUND(SUMIFS(Tabelle76[Betrag],Tabelle76[Abrechnungs-zeitraum],"A", Tabelle76[Maß-nahme], 6),2)</f>
        <v>0</v>
      </c>
      <c r="K26" s="151">
        <f>ROUND(SUMIFS(Tabelle76[Betrag],Tabelle76[Abrechnungs-zeitraum],"B", Tabelle76[Maß-nahme], 6),2)</f>
        <v>0</v>
      </c>
      <c r="L26" s="151">
        <f>ROUND(SUMIFS(Tabelle76[Betrag],Tabelle76[Abrechnungs-zeitraum],"C", Tabelle76[Maß-nahme], 6),2)</f>
        <v>0</v>
      </c>
      <c r="M26" s="151">
        <f>ROUND(SUMIFS(Tabelle76[Betrag],Tabelle76[Abrechnungs-zeitraum],"D", Tabelle76[Maß-nahme], 6),2)</f>
        <v>0</v>
      </c>
      <c r="N26" s="306">
        <f>ROUND(SUMIF(Tabelle76[Maß-nahme],"6",Tabelle76[Betrag]),2)</f>
        <v>0</v>
      </c>
      <c r="O26" s="305">
        <f>IF(Eingabe!Q45="ja", ROUND(SUMIF(Tabelle76[Maß-nahme],"6",Tabelle76[anerkannter Betrag nach Prüfung der Endabrechnung]),2),Overview!$AA$15)</f>
        <v>0</v>
      </c>
      <c r="P26" s="305">
        <f>IF(Eingabe!Q45="ja", SUMIF(Tabelle76[Maß-nahme],"6",Tabelle76[aberkannter Betrag nach Prüfung der Endabrechnung])-SUMIF(Tabelle76[Maß-nahme],"6",Tabelle76[Betrag der Änderung der Aberkennung 
(+ entspricht Zuerkennung)]),Overview!$AA$15)</f>
        <v>0</v>
      </c>
      <c r="Q26" s="161"/>
      <c r="R26" s="161"/>
      <c r="S26" s="161"/>
      <c r="T26" s="161"/>
      <c r="U26" s="161"/>
      <c r="V26" s="161"/>
      <c r="W26" s="48"/>
    </row>
    <row r="27" spans="2:24" ht="14.15" customHeight="1" x14ac:dyDescent="0.35">
      <c r="B27" s="45"/>
      <c r="C27" s="161"/>
      <c r="D27" s="161"/>
      <c r="E27" s="161"/>
      <c r="F27" s="161"/>
      <c r="G27" s="161"/>
      <c r="H27" s="161"/>
      <c r="I27" s="160" t="str">
        <f>Eingabe!N$18&amp;": "&amp;Eingabe!N$19</f>
        <v>Maßnahme 7: keine</v>
      </c>
      <c r="J27" s="151">
        <f>ROUND(SUMIFS(Tabelle76[Betrag],Tabelle76[Abrechnungs-zeitraum],"A", Tabelle76[Maß-nahme], 7),2)</f>
        <v>0</v>
      </c>
      <c r="K27" s="151">
        <f>ROUND(SUMIFS(Tabelle76[Betrag],Tabelle76[Abrechnungs-zeitraum],"B", Tabelle76[Maß-nahme], 7),2)</f>
        <v>0</v>
      </c>
      <c r="L27" s="151">
        <f>ROUND(SUMIFS(Tabelle76[Betrag],Tabelle76[Abrechnungs-zeitraum],"C", Tabelle76[Maß-nahme], 7),2)</f>
        <v>0</v>
      </c>
      <c r="M27" s="151">
        <f>ROUND(SUMIFS(Tabelle76[Betrag],Tabelle76[Abrechnungs-zeitraum],"D", Tabelle76[Maß-nahme], 7),2)</f>
        <v>0</v>
      </c>
      <c r="N27" s="306">
        <f>ROUND(SUMIF(Tabelle76[Maß-nahme],"7",Tabelle76[Betrag]),2)</f>
        <v>0</v>
      </c>
      <c r="O27" s="305">
        <f>IF(Eingabe!Q45="ja", ROUND(SUMIF(Tabelle76[Maß-nahme],"7",Tabelle76[anerkannter Betrag nach Prüfung der Endabrechnung]),2),Overview!$AA$15)</f>
        <v>0</v>
      </c>
      <c r="P27" s="305">
        <f>IF(Eingabe!Q45="ja", SUMIF(Tabelle76[Maß-nahme],"7",Tabelle76[aberkannter Betrag nach Prüfung der Endabrechnung])-SUMIF(Tabelle76[Maß-nahme],"7",Tabelle76[Betrag der Änderung der Aberkennung 
(+ entspricht Zuerkennung)]),Overview!$AA$15)</f>
        <v>0</v>
      </c>
      <c r="Q27" s="161"/>
      <c r="R27" s="161"/>
      <c r="S27" s="161"/>
      <c r="T27" s="161"/>
      <c r="U27" s="161"/>
      <c r="V27" s="161"/>
      <c r="W27" s="48"/>
    </row>
    <row r="28" spans="2:24" ht="14.15" customHeight="1" x14ac:dyDescent="0.35">
      <c r="B28" s="45"/>
      <c r="C28" s="161"/>
      <c r="D28" s="161"/>
      <c r="E28" s="161"/>
      <c r="F28" s="161"/>
      <c r="G28" s="161"/>
      <c r="H28" s="161"/>
      <c r="I28" s="160" t="str">
        <f>Eingabe!O$18&amp;": "&amp;Eingabe!O$19</f>
        <v>Maßnahme 8: keine</v>
      </c>
      <c r="J28" s="151">
        <f>ROUND(SUMIFS(Tabelle76[Betrag],Tabelle76[Abrechnungs-zeitraum],"A", Tabelle76[Maß-nahme], 8),2)</f>
        <v>0</v>
      </c>
      <c r="K28" s="151">
        <f>ROUND(SUMIFS(Tabelle76[Betrag],Tabelle76[Abrechnungs-zeitraum],"B", Tabelle76[Maß-nahme], 8),2)</f>
        <v>0</v>
      </c>
      <c r="L28" s="151">
        <f>ROUND(SUMIFS(Tabelle76[Betrag],Tabelle76[Abrechnungs-zeitraum],"C", Tabelle76[Maß-nahme], 8),2)</f>
        <v>0</v>
      </c>
      <c r="M28" s="151">
        <f>ROUND(SUMIFS(Tabelle76[Betrag],Tabelle76[Abrechnungs-zeitraum],"D", Tabelle76[Maß-nahme], 8),2)</f>
        <v>0</v>
      </c>
      <c r="N28" s="306">
        <f>ROUND(SUMIF(Tabelle76[Maß-nahme],"8",Tabelle76[Betrag]),2)</f>
        <v>0</v>
      </c>
      <c r="O28" s="305">
        <f>IF(Eingabe!Q45="ja", ROUND(SUMIF(Tabelle76[Maß-nahme],"8",Tabelle76[anerkannter Betrag nach Prüfung der Endabrechnung]),2),Overview!$AA$15)</f>
        <v>0</v>
      </c>
      <c r="P28" s="305">
        <f>IF(Eingabe!Q45="ja", SUMIF(Tabelle76[Maß-nahme],"8",Tabelle76[aberkannter Betrag nach Prüfung der Endabrechnung])-SUMIF(Tabelle76[Maß-nahme],"8",Tabelle76[Betrag der Änderung der Aberkennung 
(+ entspricht Zuerkennung)]),Overview!$AA$15)</f>
        <v>0</v>
      </c>
      <c r="Q28" s="161"/>
      <c r="R28" s="161"/>
      <c r="S28" s="161"/>
      <c r="T28" s="161"/>
      <c r="U28" s="161"/>
      <c r="V28" s="161"/>
      <c r="W28" s="48"/>
    </row>
    <row r="29" spans="2:24" ht="14.15" customHeight="1" x14ac:dyDescent="0.35">
      <c r="B29" s="45"/>
      <c r="C29" s="161"/>
      <c r="D29" s="161"/>
      <c r="E29" s="161"/>
      <c r="F29" s="161"/>
      <c r="G29" s="161"/>
      <c r="H29" s="161"/>
      <c r="I29" s="160" t="str">
        <f>Eingabe!P$18&amp;": "&amp;Eingabe!P$19</f>
        <v>Maßnahme 9: keine</v>
      </c>
      <c r="J29" s="151">
        <f>ROUND(SUMIFS(Tabelle76[Betrag],Tabelle76[Abrechnungs-zeitraum],"A", Tabelle76[Maß-nahme], 9),2)</f>
        <v>0</v>
      </c>
      <c r="K29" s="151">
        <f>ROUND(SUMIFS(Tabelle76[Betrag],Tabelle76[Abrechnungs-zeitraum],"B", Tabelle76[Maß-nahme], 9),2)</f>
        <v>0</v>
      </c>
      <c r="L29" s="151">
        <f>ROUND(SUMIFS(Tabelle76[Betrag],Tabelle76[Abrechnungs-zeitraum],"C", Tabelle76[Maß-nahme], 9),2)</f>
        <v>0</v>
      </c>
      <c r="M29" s="151">
        <f>ROUND(SUMIFS(Tabelle76[Betrag],Tabelle76[Abrechnungs-zeitraum],"D", Tabelle76[Maß-nahme], 9),2)</f>
        <v>0</v>
      </c>
      <c r="N29" s="306">
        <f>ROUND(SUMIF(Tabelle76[Maß-nahme],"9",Tabelle76[Betrag]),2)</f>
        <v>0</v>
      </c>
      <c r="O29" s="305">
        <f>IF(Eingabe!Q45="ja", ROUND(SUMIF(Tabelle76[Maß-nahme],"9",Tabelle76[anerkannter Betrag nach Prüfung der Endabrechnung]),2),Overview!$AA$15)</f>
        <v>0</v>
      </c>
      <c r="P29" s="305">
        <f>IF(Eingabe!Q45="ja", SUMIF(Tabelle76[Maß-nahme],"9",Tabelle76[aberkannter Betrag nach Prüfung der Endabrechnung])-SUMIF(Tabelle76[Maß-nahme],"9",Tabelle76[Betrag der Änderung der Aberkennung 
(+ entspricht Zuerkennung)]),Overview!$AA$15)</f>
        <v>0</v>
      </c>
      <c r="Q29" s="161"/>
      <c r="R29" s="161"/>
      <c r="S29" s="161"/>
      <c r="T29" s="161"/>
      <c r="U29" s="161"/>
      <c r="V29" s="161"/>
      <c r="W29" s="48"/>
    </row>
    <row r="30" spans="2:24" ht="14.15" customHeight="1" x14ac:dyDescent="0.35">
      <c r="B30" s="45"/>
      <c r="C30" s="161"/>
      <c r="D30" s="161"/>
      <c r="E30" s="161"/>
      <c r="F30" s="161"/>
      <c r="G30" s="161"/>
      <c r="H30" s="161"/>
      <c r="I30" s="160" t="str">
        <f>Eingabe!Q$18&amp;": "&amp;Eingabe!Q$19</f>
        <v>Maßnahme 10: keine</v>
      </c>
      <c r="J30" s="151">
        <f>ROUND(SUMIFS(Tabelle76[Betrag],Tabelle76[Abrechnungs-zeitraum],"A", Tabelle76[Maß-nahme], 10),2)</f>
        <v>0</v>
      </c>
      <c r="K30" s="151">
        <f>ROUND(SUMIFS(Tabelle76[Betrag],Tabelle76[Abrechnungs-zeitraum],"B", Tabelle76[Maß-nahme], 10),2)</f>
        <v>0</v>
      </c>
      <c r="L30" s="151">
        <f>ROUND(SUMIFS(Tabelle76[Betrag],Tabelle76[Abrechnungs-zeitraum],"C", Tabelle76[Maß-nahme], 10),2)</f>
        <v>0</v>
      </c>
      <c r="M30" s="151">
        <f>ROUND(SUMIFS(Tabelle76[Betrag],Tabelle76[Abrechnungs-zeitraum],"D", Tabelle76[Maß-nahme], 10),2)</f>
        <v>0</v>
      </c>
      <c r="N30" s="306">
        <f>ROUND(SUMIF(Tabelle76[Maß-nahme],"10",Tabelle76[Betrag]),2)</f>
        <v>0</v>
      </c>
      <c r="O30" s="305">
        <f>IF(Eingabe!Q45="ja", ROUND(SUMIF(Tabelle76[Maß-nahme],"10",Tabelle76[anerkannter Betrag nach Prüfung der Endabrechnung]),2),Overview!$AA$15)</f>
        <v>0</v>
      </c>
      <c r="P30" s="305">
        <f>IF(Eingabe!Q45="ja", SUMIF(Tabelle76[Maß-nahme],"10",Tabelle76[aberkannter Betrag nach Prüfung der Endabrechnung])-SUMIF(Tabelle76[Maß-nahme],"10",Tabelle76[Betrag der Änderung der Aberkennung 
(+ entspricht Zuerkennung)]),Overview!$AA$15)</f>
        <v>0</v>
      </c>
      <c r="Q30" s="161"/>
      <c r="R30" s="161"/>
      <c r="S30" s="161"/>
      <c r="T30" s="161"/>
      <c r="U30" s="161"/>
      <c r="V30" s="161"/>
      <c r="W30" s="48"/>
    </row>
    <row r="31" spans="2:24" ht="14.15" customHeight="1" x14ac:dyDescent="0.35">
      <c r="B31" s="45"/>
      <c r="C31" s="161"/>
      <c r="D31" s="161"/>
      <c r="E31" s="161"/>
      <c r="F31" s="161"/>
      <c r="G31" s="161"/>
      <c r="H31" s="161"/>
      <c r="I31" s="307" t="s">
        <v>145</v>
      </c>
      <c r="J31" s="306">
        <f>SUM(J21:J30)</f>
        <v>0</v>
      </c>
      <c r="K31" s="306">
        <f t="shared" ref="K31:M31" si="2">SUM(K21:K30)</f>
        <v>0</v>
      </c>
      <c r="L31" s="306">
        <f t="shared" si="2"/>
        <v>0</v>
      </c>
      <c r="M31" s="306">
        <f t="shared" si="2"/>
        <v>0</v>
      </c>
      <c r="N31" s="306">
        <f>SUM(N21:N30)</f>
        <v>0</v>
      </c>
      <c r="O31" s="306">
        <f>IF(Eingabe!Q45="ja", SUM(Tabelle76[anerkannter Betrag nach Prüfung der Endabrechnung]),Overview!$AA$15)</f>
        <v>0</v>
      </c>
      <c r="P31" s="306">
        <f>IF(Eingabe!Q45="ja", SUM(Tabelle76[aberkannter Betrag nach Prüfung der Endabrechnung])-SUM(Tabelle76[Betrag der Änderung der Aberkennung 
(+ entspricht Zuerkennung)]),Overview!$AA$15)</f>
        <v>0</v>
      </c>
      <c r="Q31" s="161"/>
      <c r="R31" s="161"/>
      <c r="S31" s="161"/>
      <c r="T31" s="161"/>
      <c r="U31" s="161"/>
      <c r="V31" s="161"/>
      <c r="W31" s="48"/>
    </row>
    <row r="32" spans="2:24" ht="18.75" customHeight="1" x14ac:dyDescent="0.35">
      <c r="B32" s="55"/>
      <c r="C32" s="56"/>
      <c r="D32" s="56"/>
      <c r="E32" s="56"/>
      <c r="F32" s="56"/>
      <c r="G32" s="56"/>
      <c r="H32" s="56"/>
      <c r="I32" s="56"/>
      <c r="J32" s="56"/>
      <c r="K32" s="56"/>
      <c r="L32" s="56"/>
      <c r="M32" s="56"/>
      <c r="N32" s="56"/>
      <c r="O32" s="56"/>
      <c r="P32" s="56"/>
      <c r="Q32" s="56"/>
      <c r="R32" s="56"/>
      <c r="S32" s="56"/>
      <c r="T32" s="56"/>
      <c r="U32" s="56"/>
      <c r="V32" s="56"/>
      <c r="W32" s="57"/>
    </row>
  </sheetData>
  <sheetProtection password="FFFD" sheet="1" insertRows="0"/>
  <protectedRanges>
    <protectedRange password="CDD2" sqref="N8:N17 P8:R17 T8:U17" name="Prüfung"/>
  </protectedRanges>
  <mergeCells count="9">
    <mergeCell ref="N6:R6"/>
    <mergeCell ref="T6:U6"/>
    <mergeCell ref="D6:K6"/>
    <mergeCell ref="C3:H3"/>
    <mergeCell ref="N3:Q3"/>
    <mergeCell ref="R3:S3"/>
    <mergeCell ref="T3:U3"/>
    <mergeCell ref="C5:M5"/>
    <mergeCell ref="N5:V5"/>
  </mergeCells>
  <conditionalFormatting sqref="L8:L17 N8:N17">
    <cfRule type="containsText" dxfId="180" priority="5" operator="containsText" text="j">
      <formula>NOT(ISERROR(SEARCH("j",L8)))</formula>
    </cfRule>
  </conditionalFormatting>
  <conditionalFormatting sqref="R8:R17">
    <cfRule type="containsText" dxfId="179" priority="3" operator="containsText" text="j">
      <formula>NOT(ISERROR(SEARCH("j",R8)))</formula>
    </cfRule>
  </conditionalFormatting>
  <conditionalFormatting sqref="E8:E17">
    <cfRule type="expression" dxfId="178" priority="2">
      <formula>AND(NOT(E8="a"),NOT(E8="b"),NOT(E8="c"),NOT(E8="d"),NOT(M8=0))</formula>
    </cfRule>
  </conditionalFormatting>
  <conditionalFormatting sqref="F8:F17">
    <cfRule type="expression" dxfId="177" priority="1">
      <formula>AND(NOT(F8=1),NOT(F8=2),NOT(F8=3),NOT(F8=4),NOT(F8=5),NOT(F8=6),NOT(F8=7),NOT(F8=8),NOT(F8=9),NOT(F8=10),NOT(M8=0))</formula>
    </cfRule>
  </conditionalFormatting>
  <pageMargins left="0.25" right="0.25" top="0.75" bottom="0.75" header="0.3" footer="0.3"/>
  <pageSetup paperSize="9" scale="31" fitToHeight="0"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2F9861FB-BE89-44F5-A185-0B1703FCCC08}">
            <xm:f>AND(Eingabe!$Q$45="ja",L8="j",NOT(N8="j"))</xm:f>
            <x14:dxf>
              <fill>
                <patternFill>
                  <bgColor theme="5" tint="0.59996337778862885"/>
                </patternFill>
              </fill>
            </x14:dxf>
          </x14:cfRule>
          <xm:sqref>N8:N17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2:X32"/>
  <sheetViews>
    <sheetView showGridLines="0" zoomScaleNormal="100" workbookViewId="0">
      <selection activeCell="O8" sqref="O8"/>
    </sheetView>
  </sheetViews>
  <sheetFormatPr baseColWidth="10" defaultColWidth="11.453125" defaultRowHeight="13" x14ac:dyDescent="0.35"/>
  <cols>
    <col min="1" max="2" width="2.54296875" style="44" customWidth="1"/>
    <col min="3" max="3" width="8.453125" style="44" customWidth="1"/>
    <col min="4" max="4" width="10.54296875" style="44" customWidth="1"/>
    <col min="5" max="5" width="11.08984375" style="44" customWidth="1"/>
    <col min="6" max="6" width="8.453125" style="44" customWidth="1"/>
    <col min="7" max="7" width="15.90625" style="44" customWidth="1"/>
    <col min="8" max="8" width="37.453125" style="44" customWidth="1"/>
    <col min="9" max="9" width="60.90625" style="44" customWidth="1"/>
    <col min="10" max="10" width="20.6328125" style="44" customWidth="1"/>
    <col min="11" max="16" width="14.6328125" style="44" customWidth="1"/>
    <col min="17" max="17" width="45.54296875" style="44" customWidth="1"/>
    <col min="18" max="18" width="10.54296875" style="44" customWidth="1"/>
    <col min="19" max="19" width="45.54296875" style="44" customWidth="1"/>
    <col min="20" max="20" width="20.54296875" style="44" customWidth="1"/>
    <col min="21" max="21" width="45.54296875" style="44" customWidth="1"/>
    <col min="22" max="22" width="9.453125" style="44" customWidth="1"/>
    <col min="23" max="23" width="2.54296875" style="44" customWidth="1"/>
    <col min="24" max="16384" width="11.453125" style="44"/>
  </cols>
  <sheetData>
    <row r="2" spans="2:23" ht="18.75" customHeight="1" x14ac:dyDescent="0.35">
      <c r="B2" s="40"/>
      <c r="C2" s="41"/>
      <c r="D2" s="41"/>
      <c r="E2" s="41"/>
      <c r="F2" s="41"/>
      <c r="G2" s="41"/>
      <c r="H2" s="41"/>
      <c r="I2" s="41"/>
      <c r="J2" s="41"/>
      <c r="K2" s="41"/>
      <c r="L2" s="41"/>
      <c r="M2" s="41"/>
      <c r="N2" s="41"/>
      <c r="O2" s="42"/>
      <c r="P2" s="42"/>
      <c r="Q2" s="42"/>
      <c r="R2" s="42"/>
      <c r="S2" s="42"/>
      <c r="T2" s="42"/>
      <c r="U2" s="42"/>
      <c r="V2" s="42"/>
      <c r="W2" s="43"/>
    </row>
    <row r="3" spans="2:23" ht="22.5" customHeight="1" x14ac:dyDescent="0.35">
      <c r="B3" s="45"/>
      <c r="C3" s="583" t="s">
        <v>16</v>
      </c>
      <c r="D3" s="583"/>
      <c r="E3" s="583"/>
      <c r="F3" s="583"/>
      <c r="G3" s="583"/>
      <c r="H3" s="583"/>
      <c r="I3" s="272"/>
      <c r="J3" s="46"/>
      <c r="K3" s="46"/>
      <c r="L3" s="46"/>
      <c r="M3" s="46"/>
      <c r="N3" s="583"/>
      <c r="O3" s="583"/>
      <c r="P3" s="583"/>
      <c r="Q3" s="583"/>
      <c r="R3" s="591"/>
      <c r="S3" s="591"/>
      <c r="T3" s="592"/>
      <c r="U3" s="592"/>
      <c r="V3" s="270"/>
      <c r="W3" s="48"/>
    </row>
    <row r="4" spans="2:23" ht="21.5" thickBot="1" x14ac:dyDescent="0.4">
      <c r="B4" s="45"/>
      <c r="C4" s="270"/>
      <c r="D4" s="270"/>
      <c r="E4" s="270"/>
      <c r="F4" s="270"/>
      <c r="G4" s="270"/>
      <c r="H4" s="270"/>
      <c r="I4" s="270"/>
      <c r="J4" s="270"/>
      <c r="K4" s="270"/>
      <c r="L4" s="270"/>
      <c r="M4" s="270"/>
      <c r="N4" s="270"/>
      <c r="O4" s="269"/>
      <c r="P4" s="269"/>
      <c r="Q4" s="269"/>
      <c r="R4" s="269"/>
      <c r="S4" s="269"/>
      <c r="T4" s="269"/>
      <c r="U4" s="270"/>
      <c r="V4" s="270"/>
      <c r="W4" s="48"/>
    </row>
    <row r="5" spans="2:23" ht="15.75" customHeight="1" thickBot="1" x14ac:dyDescent="0.4">
      <c r="B5" s="45"/>
      <c r="C5" s="600" t="s">
        <v>25</v>
      </c>
      <c r="D5" s="587"/>
      <c r="E5" s="587"/>
      <c r="F5" s="587"/>
      <c r="G5" s="587"/>
      <c r="H5" s="587"/>
      <c r="I5" s="587"/>
      <c r="J5" s="587"/>
      <c r="K5" s="587"/>
      <c r="L5" s="587"/>
      <c r="M5" s="612"/>
      <c r="N5" s="584" t="str">
        <f>C5 &amp; " - Prüfung"</f>
        <v>c.1) Immobilien - Prüfung</v>
      </c>
      <c r="O5" s="584"/>
      <c r="P5" s="584"/>
      <c r="Q5" s="584"/>
      <c r="R5" s="584"/>
      <c r="S5" s="584"/>
      <c r="T5" s="584"/>
      <c r="U5" s="584"/>
      <c r="V5" s="585"/>
      <c r="W5" s="48"/>
    </row>
    <row r="6" spans="2:23" ht="15.75" customHeight="1" x14ac:dyDescent="0.35">
      <c r="B6" s="45"/>
      <c r="C6" s="300"/>
      <c r="D6" s="609" t="s">
        <v>104</v>
      </c>
      <c r="E6" s="610"/>
      <c r="F6" s="610"/>
      <c r="G6" s="610"/>
      <c r="H6" s="610"/>
      <c r="I6" s="610"/>
      <c r="J6" s="611"/>
      <c r="K6" s="607" t="s">
        <v>148</v>
      </c>
      <c r="L6" s="608"/>
      <c r="M6" s="398"/>
      <c r="N6" s="589" t="s">
        <v>91</v>
      </c>
      <c r="O6" s="589"/>
      <c r="P6" s="589"/>
      <c r="Q6" s="589"/>
      <c r="R6" s="590"/>
      <c r="S6" s="60" t="s">
        <v>90</v>
      </c>
      <c r="T6" s="593" t="s">
        <v>91</v>
      </c>
      <c r="U6" s="594"/>
      <c r="V6" s="66"/>
      <c r="W6" s="48"/>
    </row>
    <row r="7" spans="2:23" ht="60" customHeight="1" x14ac:dyDescent="0.35">
      <c r="B7" s="45"/>
      <c r="C7" s="355" t="s">
        <v>9</v>
      </c>
      <c r="D7" s="165" t="s">
        <v>77</v>
      </c>
      <c r="E7" s="165" t="s">
        <v>114</v>
      </c>
      <c r="F7" s="165" t="s">
        <v>115</v>
      </c>
      <c r="G7" s="50" t="s">
        <v>7</v>
      </c>
      <c r="H7" s="50" t="s">
        <v>39</v>
      </c>
      <c r="I7" s="50" t="s">
        <v>92</v>
      </c>
      <c r="J7" s="50" t="s">
        <v>93</v>
      </c>
      <c r="K7" s="78" t="s">
        <v>94</v>
      </c>
      <c r="L7" s="78" t="s">
        <v>52</v>
      </c>
      <c r="M7" s="330" t="s">
        <v>53</v>
      </c>
      <c r="N7" s="296" t="s">
        <v>59</v>
      </c>
      <c r="O7" s="279" t="s">
        <v>151</v>
      </c>
      <c r="P7" s="280" t="s">
        <v>152</v>
      </c>
      <c r="Q7" s="281" t="s">
        <v>40</v>
      </c>
      <c r="R7" s="282" t="s">
        <v>57</v>
      </c>
      <c r="S7" s="283" t="s">
        <v>89</v>
      </c>
      <c r="T7" s="280" t="s">
        <v>54</v>
      </c>
      <c r="U7" s="281" t="s">
        <v>48</v>
      </c>
      <c r="V7" s="59" t="s">
        <v>95</v>
      </c>
      <c r="W7" s="48"/>
    </row>
    <row r="8" spans="2:23" ht="14.5" x14ac:dyDescent="0.35">
      <c r="B8" s="45"/>
      <c r="C8" s="399" t="str">
        <f>"c.1."&amp;ROW()-7</f>
        <v>c.1.1</v>
      </c>
      <c r="D8" s="382"/>
      <c r="E8" s="382"/>
      <c r="F8" s="382"/>
      <c r="G8" s="413"/>
      <c r="H8" s="369"/>
      <c r="I8" s="369"/>
      <c r="J8" s="369"/>
      <c r="K8" s="369"/>
      <c r="L8" s="369"/>
      <c r="M8" s="400"/>
      <c r="N8" s="297"/>
      <c r="O8" s="375">
        <f>IF(Eingabe!$Q$45="ja", M8-P8+T8,Overview!$AA$15)</f>
        <v>0</v>
      </c>
      <c r="P8" s="376"/>
      <c r="Q8" s="383"/>
      <c r="R8" s="384"/>
      <c r="S8" s="385"/>
      <c r="T8" s="377"/>
      <c r="U8" s="383"/>
      <c r="V8" s="285" t="str">
        <f>C8</f>
        <v>c.1.1</v>
      </c>
      <c r="W8" s="48"/>
    </row>
    <row r="9" spans="2:23" ht="14.5" x14ac:dyDescent="0.35">
      <c r="B9" s="45"/>
      <c r="C9" s="399" t="str">
        <f t="shared" ref="C9:C17" si="0">"c.1."&amp;ROW()-7</f>
        <v>c.1.2</v>
      </c>
      <c r="D9" s="382"/>
      <c r="E9" s="382"/>
      <c r="F9" s="382"/>
      <c r="G9" s="413"/>
      <c r="H9" s="369"/>
      <c r="I9" s="369"/>
      <c r="J9" s="369"/>
      <c r="K9" s="369"/>
      <c r="L9" s="369"/>
      <c r="M9" s="400"/>
      <c r="N9" s="297"/>
      <c r="O9" s="379">
        <f>IF(Eingabe!$Q$45="ja", M9-P9+T9,Overview!$AA$15)</f>
        <v>0</v>
      </c>
      <c r="P9" s="376"/>
      <c r="Q9" s="383"/>
      <c r="R9" s="384"/>
      <c r="S9" s="385"/>
      <c r="T9" s="377"/>
      <c r="U9" s="383"/>
      <c r="V9" s="286" t="str">
        <f>C9</f>
        <v>c.1.2</v>
      </c>
      <c r="W9" s="48"/>
    </row>
    <row r="10" spans="2:23" ht="14.5" x14ac:dyDescent="0.35">
      <c r="B10" s="45"/>
      <c r="C10" s="399" t="str">
        <f t="shared" si="0"/>
        <v>c.1.3</v>
      </c>
      <c r="D10" s="382"/>
      <c r="E10" s="382"/>
      <c r="F10" s="382"/>
      <c r="G10" s="413"/>
      <c r="H10" s="387"/>
      <c r="I10" s="369"/>
      <c r="J10" s="369"/>
      <c r="K10" s="369"/>
      <c r="L10" s="369"/>
      <c r="M10" s="400"/>
      <c r="N10" s="297"/>
      <c r="O10" s="379">
        <f>IF(Eingabe!$Q$45="ja", M10-P10+T10,Overview!$AA$15)</f>
        <v>0</v>
      </c>
      <c r="P10" s="376"/>
      <c r="Q10" s="383"/>
      <c r="R10" s="384"/>
      <c r="S10" s="385"/>
      <c r="T10" s="377"/>
      <c r="U10" s="383"/>
      <c r="V10" s="286" t="str">
        <f>C10</f>
        <v>c.1.3</v>
      </c>
      <c r="W10" s="48"/>
    </row>
    <row r="11" spans="2:23" ht="14.5" x14ac:dyDescent="0.35">
      <c r="B11" s="45"/>
      <c r="C11" s="399" t="str">
        <f t="shared" si="0"/>
        <v>c.1.4</v>
      </c>
      <c r="D11" s="386"/>
      <c r="E11" s="382"/>
      <c r="F11" s="386"/>
      <c r="G11" s="414"/>
      <c r="H11" s="369"/>
      <c r="I11" s="387"/>
      <c r="J11" s="387"/>
      <c r="K11" s="387"/>
      <c r="L11" s="369"/>
      <c r="M11" s="401"/>
      <c r="N11" s="298"/>
      <c r="O11" s="379">
        <f>IF(Eingabe!$Q$45="ja", M11-P11+T11,Overview!$AA$15)</f>
        <v>0</v>
      </c>
      <c r="P11" s="388"/>
      <c r="Q11" s="389"/>
      <c r="R11" s="390"/>
      <c r="S11" s="391"/>
      <c r="T11" s="392"/>
      <c r="U11" s="389"/>
      <c r="V11" s="287" t="str">
        <f t="shared" ref="V11:V13" si="1">C11</f>
        <v>c.1.4</v>
      </c>
      <c r="W11" s="48"/>
    </row>
    <row r="12" spans="2:23" ht="14.5" x14ac:dyDescent="0.35">
      <c r="B12" s="45"/>
      <c r="C12" s="399" t="str">
        <f t="shared" si="0"/>
        <v>c.1.5</v>
      </c>
      <c r="D12" s="382"/>
      <c r="E12" s="382"/>
      <c r="F12" s="382"/>
      <c r="G12" s="413"/>
      <c r="H12" s="369"/>
      <c r="I12" s="369"/>
      <c r="J12" s="369"/>
      <c r="K12" s="369"/>
      <c r="L12" s="369"/>
      <c r="M12" s="400"/>
      <c r="N12" s="297"/>
      <c r="O12" s="379">
        <f>IF(Eingabe!$Q$45="ja", M12-P12+T12,Overview!$AA$15)</f>
        <v>0</v>
      </c>
      <c r="P12" s="376"/>
      <c r="Q12" s="383"/>
      <c r="R12" s="384"/>
      <c r="S12" s="385"/>
      <c r="T12" s="377"/>
      <c r="U12" s="383"/>
      <c r="V12" s="286" t="str">
        <f t="shared" si="1"/>
        <v>c.1.5</v>
      </c>
      <c r="W12" s="48"/>
    </row>
    <row r="13" spans="2:23" ht="14.5" x14ac:dyDescent="0.35">
      <c r="B13" s="45"/>
      <c r="C13" s="399" t="str">
        <f t="shared" si="0"/>
        <v>c.1.6</v>
      </c>
      <c r="D13" s="382"/>
      <c r="E13" s="382"/>
      <c r="F13" s="382"/>
      <c r="G13" s="413"/>
      <c r="H13" s="369"/>
      <c r="I13" s="369"/>
      <c r="J13" s="369"/>
      <c r="K13" s="369"/>
      <c r="L13" s="369"/>
      <c r="M13" s="400"/>
      <c r="N13" s="297"/>
      <c r="O13" s="379">
        <f>IF(Eingabe!$Q$45="ja", M13-P13+T13,Overview!$AA$15)</f>
        <v>0</v>
      </c>
      <c r="P13" s="376"/>
      <c r="Q13" s="383"/>
      <c r="R13" s="384"/>
      <c r="S13" s="385"/>
      <c r="T13" s="377"/>
      <c r="U13" s="383"/>
      <c r="V13" s="286" t="str">
        <f t="shared" si="1"/>
        <v>c.1.6</v>
      </c>
      <c r="W13" s="48"/>
    </row>
    <row r="14" spans="2:23" ht="14.5" x14ac:dyDescent="0.35">
      <c r="B14" s="45"/>
      <c r="C14" s="399" t="str">
        <f t="shared" si="0"/>
        <v>c.1.7</v>
      </c>
      <c r="D14" s="382"/>
      <c r="E14" s="382"/>
      <c r="F14" s="382"/>
      <c r="G14" s="413"/>
      <c r="H14" s="369"/>
      <c r="I14" s="369"/>
      <c r="J14" s="369"/>
      <c r="K14" s="369"/>
      <c r="L14" s="369"/>
      <c r="M14" s="402"/>
      <c r="N14" s="297"/>
      <c r="O14" s="379">
        <f>IF(Eingabe!$Q$45="ja", M14-P14+T14,Overview!$AA$15)</f>
        <v>0</v>
      </c>
      <c r="P14" s="393"/>
      <c r="Q14" s="394"/>
      <c r="R14" s="395"/>
      <c r="S14" s="396"/>
      <c r="T14" s="397"/>
      <c r="U14" s="394"/>
      <c r="V14" s="286" t="str">
        <f>C14</f>
        <v>c.1.7</v>
      </c>
      <c r="W14" s="48"/>
    </row>
    <row r="15" spans="2:23" ht="14.5" x14ac:dyDescent="0.35">
      <c r="B15" s="45"/>
      <c r="C15" s="399" t="str">
        <f t="shared" ref="C15:C16" si="2">"c.1."&amp;ROW()-7</f>
        <v>c.1.8</v>
      </c>
      <c r="D15" s="382"/>
      <c r="E15" s="382"/>
      <c r="F15" s="382"/>
      <c r="G15" s="413"/>
      <c r="H15" s="369"/>
      <c r="I15" s="369"/>
      <c r="J15" s="369"/>
      <c r="K15" s="369"/>
      <c r="L15" s="369"/>
      <c r="M15" s="402"/>
      <c r="N15" s="297"/>
      <c r="O15" s="379">
        <f>IF(Eingabe!$Q$45="ja", M15-P15+T15, Overview!$AA$15)</f>
        <v>0</v>
      </c>
      <c r="P15" s="393"/>
      <c r="Q15" s="394"/>
      <c r="R15" s="395"/>
      <c r="S15" s="396"/>
      <c r="T15" s="397"/>
      <c r="U15" s="394"/>
      <c r="V15" s="286" t="str">
        <f t="shared" ref="V15:V16" si="3">C15</f>
        <v>c.1.8</v>
      </c>
      <c r="W15" s="48"/>
    </row>
    <row r="16" spans="2:23" ht="14.5" x14ac:dyDescent="0.35">
      <c r="B16" s="45"/>
      <c r="C16" s="399" t="str">
        <f t="shared" si="2"/>
        <v>c.1.9</v>
      </c>
      <c r="D16" s="382"/>
      <c r="E16" s="382"/>
      <c r="F16" s="382"/>
      <c r="G16" s="413"/>
      <c r="H16" s="369"/>
      <c r="I16" s="369"/>
      <c r="J16" s="369"/>
      <c r="K16" s="369"/>
      <c r="L16" s="369"/>
      <c r="M16" s="402"/>
      <c r="N16" s="297"/>
      <c r="O16" s="379">
        <f>IF(Eingabe!$Q$45="ja", M16-P16+T16,Overview!$AA$15)</f>
        <v>0</v>
      </c>
      <c r="P16" s="393"/>
      <c r="Q16" s="394"/>
      <c r="R16" s="395"/>
      <c r="S16" s="396"/>
      <c r="T16" s="397"/>
      <c r="U16" s="394"/>
      <c r="V16" s="286" t="str">
        <f t="shared" si="3"/>
        <v>c.1.9</v>
      </c>
      <c r="W16" s="48"/>
    </row>
    <row r="17" spans="2:24" ht="26.5" thickBot="1" x14ac:dyDescent="0.4">
      <c r="B17" s="45"/>
      <c r="C17" s="263" t="str">
        <f t="shared" si="0"/>
        <v>c.1.10</v>
      </c>
      <c r="D17" s="64"/>
      <c r="E17" s="64"/>
      <c r="F17" s="64"/>
      <c r="G17" s="412"/>
      <c r="H17" s="65" t="s">
        <v>96</v>
      </c>
      <c r="I17" s="65"/>
      <c r="J17" s="65"/>
      <c r="K17" s="65"/>
      <c r="L17" s="65"/>
      <c r="M17" s="67"/>
      <c r="N17" s="299"/>
      <c r="O17" s="416">
        <f>IF(Eingabe!$Q$45="ja", M17-P17+T17,Overview!$AA$15)</f>
        <v>0</v>
      </c>
      <c r="P17" s="290"/>
      <c r="Q17" s="291"/>
      <c r="R17" s="292"/>
      <c r="S17" s="293"/>
      <c r="T17" s="294"/>
      <c r="U17" s="291"/>
      <c r="V17" s="295" t="str">
        <f>C17</f>
        <v>c.1.10</v>
      </c>
      <c r="W17" s="48"/>
    </row>
    <row r="18" spans="2:24" ht="14.5" x14ac:dyDescent="0.35">
      <c r="B18" s="45"/>
      <c r="C18" s="270"/>
      <c r="D18" s="270"/>
      <c r="E18" s="270"/>
      <c r="F18" s="270"/>
      <c r="G18" s="270"/>
      <c r="H18" s="54"/>
      <c r="I18" s="54"/>
      <c r="J18" s="54"/>
      <c r="K18" s="54"/>
      <c r="L18" s="262">
        <f>SUMIF(Tabelle7610[Beleg vorgelegt (j/n)],"j",Tabelle7610[Betrag (bei aliquotierten Beträgen als Formel)])</f>
        <v>0</v>
      </c>
      <c r="M18" s="62"/>
      <c r="N18" s="277">
        <f>SUMIF(Tabelle7610[Beleg geprüft
(j)],"j",Tabelle7610[anerkannter Betrag nach Prüfung der Endabrechnung])</f>
        <v>0</v>
      </c>
      <c r="O18" s="51"/>
      <c r="P18" s="51"/>
      <c r="Q18" s="52"/>
      <c r="R18" s="52"/>
      <c r="S18" s="52"/>
      <c r="T18" s="52"/>
      <c r="U18" s="52"/>
      <c r="V18" s="52"/>
      <c r="W18" s="48"/>
      <c r="X18" s="53"/>
    </row>
    <row r="19" spans="2:24" ht="14.15" customHeight="1" x14ac:dyDescent="0.35">
      <c r="B19" s="45"/>
      <c r="C19" s="270"/>
      <c r="D19" s="270"/>
      <c r="E19" s="270"/>
      <c r="F19" s="270"/>
      <c r="G19" s="270"/>
      <c r="H19" s="270"/>
      <c r="I19" s="158"/>
      <c r="J19" s="158"/>
      <c r="K19" s="158"/>
      <c r="L19" s="158"/>
      <c r="M19" s="156"/>
      <c r="N19" s="155"/>
      <c r="O19" s="156"/>
      <c r="P19" s="156"/>
      <c r="Q19" s="157"/>
      <c r="R19" s="52"/>
      <c r="S19" s="52"/>
      <c r="T19" s="52"/>
      <c r="U19" s="52"/>
      <c r="V19" s="52"/>
      <c r="W19" s="48"/>
      <c r="X19" s="53"/>
    </row>
    <row r="20" spans="2:24" ht="14.15" customHeight="1" x14ac:dyDescent="0.35">
      <c r="B20" s="45"/>
      <c r="C20" s="270"/>
      <c r="D20" s="270"/>
      <c r="E20" s="270"/>
      <c r="F20" s="270"/>
      <c r="G20" s="270"/>
      <c r="H20" s="270"/>
      <c r="I20" s="159"/>
      <c r="J20" s="159" t="s">
        <v>140</v>
      </c>
      <c r="K20" s="159" t="s">
        <v>142</v>
      </c>
      <c r="L20" s="159" t="s">
        <v>141</v>
      </c>
      <c r="M20" s="159" t="s">
        <v>143</v>
      </c>
      <c r="N20" s="159" t="s">
        <v>144</v>
      </c>
      <c r="O20" s="159" t="s">
        <v>162</v>
      </c>
      <c r="P20" s="159" t="s">
        <v>163</v>
      </c>
      <c r="Q20" s="270"/>
      <c r="R20" s="270"/>
      <c r="S20" s="270"/>
      <c r="T20" s="270"/>
      <c r="U20" s="270"/>
      <c r="V20" s="270"/>
      <c r="W20" s="48"/>
    </row>
    <row r="21" spans="2:24" ht="14.15" customHeight="1" x14ac:dyDescent="0.35">
      <c r="B21" s="45"/>
      <c r="C21" s="270"/>
      <c r="D21" s="270"/>
      <c r="E21" s="270"/>
      <c r="F21" s="270"/>
      <c r="G21" s="270"/>
      <c r="H21" s="270"/>
      <c r="I21" s="160" t="str">
        <f>Eingabe!H$18&amp;": "&amp;Eingabe!H$19</f>
        <v>Maßnahme 1: Titel</v>
      </c>
      <c r="J21" s="151">
        <f>ROUND(SUMIFS(Tabelle7610[Betrag (bei aliquotierten Beträgen als Formel)],Tabelle7610[Abrechnungs-zeitraum],"A", Tabelle7610[Maß-nahme], 1),2)</f>
        <v>0</v>
      </c>
      <c r="K21" s="151">
        <f>ROUND(SUMIFS(Tabelle7610[Betrag (bei aliquotierten Beträgen als Formel)],Tabelle7610[Abrechnungs-zeitraum],"B", Tabelle7610[Maß-nahme], 1),2)</f>
        <v>0</v>
      </c>
      <c r="L21" s="151">
        <f>ROUND(SUMIFS(Tabelle7610[Betrag (bei aliquotierten Beträgen als Formel)],Tabelle7610[Abrechnungs-zeitraum],"C", Tabelle7610[Maß-nahme], 1),2)</f>
        <v>0</v>
      </c>
      <c r="M21" s="151">
        <f>ROUND(SUMIFS(Tabelle7610[Betrag (bei aliquotierten Beträgen als Formel)],Tabelle7610[Abrechnungs-zeitraum],"D", Tabelle7610[Maß-nahme], 1),2)</f>
        <v>0</v>
      </c>
      <c r="N21" s="306">
        <f>ROUND(SUMIF(Tabelle7610[Maß-nahme],"1",Tabelle7610[Betrag (bei aliquotierten Beträgen als Formel)]),2)</f>
        <v>0</v>
      </c>
      <c r="O21" s="305">
        <f>IF(Eingabe!Q45="ja",ROUND(SUMIF(Tabelle7610[Maß-nahme],"1",Tabelle7610[anerkannter Betrag nach Prüfung der Endabrechnung]),2),Overview!$AA$15)</f>
        <v>0</v>
      </c>
      <c r="P21" s="305">
        <f>IF(Eingabe!Q45="ja", SUMIF(Tabelle7610[Maß-nahme],"1",Tabelle7610[aberkannter Betrag nach Prüfung der Endabrechnung])-SUMIF(Tabelle7610[Maß-nahme],"1",Tabelle7610[Betrag der Änderung der Aberkennung 
(+ entspricht Zuerkennung)]),Overview!$AA$15)</f>
        <v>0</v>
      </c>
      <c r="Q21" s="270"/>
      <c r="R21" s="270"/>
      <c r="S21" s="270"/>
      <c r="T21" s="270"/>
      <c r="U21" s="270"/>
      <c r="V21" s="270"/>
      <c r="W21" s="48"/>
    </row>
    <row r="22" spans="2:24" ht="14.15" customHeight="1" x14ac:dyDescent="0.35">
      <c r="B22" s="45"/>
      <c r="C22" s="270"/>
      <c r="D22" s="270"/>
      <c r="E22" s="270"/>
      <c r="F22" s="270"/>
      <c r="G22" s="270"/>
      <c r="H22" s="270"/>
      <c r="I22" s="160" t="str">
        <f>Eingabe!I$18&amp;": "&amp;Eingabe!I$19</f>
        <v>Maßnahme 2: keine</v>
      </c>
      <c r="J22" s="151">
        <f>ROUND(SUMIFS(Tabelle7610[Betrag (bei aliquotierten Beträgen als Formel)],Tabelle7610[Abrechnungs-zeitraum],"A", Tabelle7610[Maß-nahme], 2),2)</f>
        <v>0</v>
      </c>
      <c r="K22" s="151">
        <f>ROUND(SUMIFS(Tabelle7610[Betrag (bei aliquotierten Beträgen als Formel)],Tabelle7610[Abrechnungs-zeitraum],"B", Tabelle7610[Maß-nahme], 2),2)</f>
        <v>0</v>
      </c>
      <c r="L22" s="151">
        <f>ROUND(SUMIFS(Tabelle7610[Betrag (bei aliquotierten Beträgen als Formel)],Tabelle7610[Abrechnungs-zeitraum],"C", Tabelle7610[Maß-nahme], 2),2)</f>
        <v>0</v>
      </c>
      <c r="M22" s="151">
        <f>ROUND(SUMIFS(Tabelle7610[Betrag (bei aliquotierten Beträgen als Formel)],Tabelle7610[Abrechnungs-zeitraum],"D", Tabelle7610[Maß-nahme], 2),2)</f>
        <v>0</v>
      </c>
      <c r="N22" s="306">
        <f>ROUND(SUMIF(Tabelle7610[Maß-nahme],"2",Tabelle7610[Betrag (bei aliquotierten Beträgen als Formel)]),2)</f>
        <v>0</v>
      </c>
      <c r="O22" s="305">
        <f>IF(Eingabe!Q45="ja",ROUND(SUMIF(Tabelle7610[Maß-nahme],"2",Tabelle7610[anerkannter Betrag nach Prüfung der Endabrechnung]),2),Overview!$AA$15)</f>
        <v>0</v>
      </c>
      <c r="P22" s="305">
        <f>IF(Eingabe!Q45="ja", SUMIF(Tabelle7610[Maß-nahme],"2",Tabelle7610[aberkannter Betrag nach Prüfung der Endabrechnung])-SUMIF(Tabelle7610[Maß-nahme],"2",Tabelle7610[Betrag der Änderung der Aberkennung 
(+ entspricht Zuerkennung)]),Overview!$AA$15)</f>
        <v>0</v>
      </c>
      <c r="Q22" s="270"/>
      <c r="R22" s="270"/>
      <c r="S22" s="270"/>
      <c r="T22" s="270"/>
      <c r="U22" s="270"/>
      <c r="V22" s="270"/>
      <c r="W22" s="48"/>
    </row>
    <row r="23" spans="2:24" ht="14.15" customHeight="1" x14ac:dyDescent="0.35">
      <c r="B23" s="45"/>
      <c r="C23" s="270"/>
      <c r="D23" s="270"/>
      <c r="E23" s="270"/>
      <c r="F23" s="270"/>
      <c r="G23" s="270"/>
      <c r="H23" s="270"/>
      <c r="I23" s="160" t="str">
        <f>Eingabe!J$18&amp;": "&amp;Eingabe!J$19</f>
        <v>Maßnahme 3: keine</v>
      </c>
      <c r="J23" s="151">
        <f>ROUND(SUMIFS(Tabelle7610[Betrag (bei aliquotierten Beträgen als Formel)],Tabelle7610[Abrechnungs-zeitraum],"A", Tabelle7610[Maß-nahme], 3),2)</f>
        <v>0</v>
      </c>
      <c r="K23" s="151">
        <f>ROUND(SUMIFS(Tabelle7610[Betrag (bei aliquotierten Beträgen als Formel)],Tabelle7610[Abrechnungs-zeitraum],"B", Tabelle7610[Maß-nahme], 3),2)</f>
        <v>0</v>
      </c>
      <c r="L23" s="151">
        <f>ROUND(SUMIFS(Tabelle7610[Betrag (bei aliquotierten Beträgen als Formel)],Tabelle7610[Abrechnungs-zeitraum],"C", Tabelle7610[Maß-nahme], 3),2)</f>
        <v>0</v>
      </c>
      <c r="M23" s="151">
        <f>ROUND(SUMIFS(Tabelle7610[Betrag (bei aliquotierten Beträgen als Formel)],Tabelle7610[Abrechnungs-zeitraum],"D", Tabelle7610[Maß-nahme], 3),2)</f>
        <v>0</v>
      </c>
      <c r="N23" s="306">
        <f>ROUND(SUMIF(Tabelle7610[Maß-nahme],"3",Tabelle7610[Betrag (bei aliquotierten Beträgen als Formel)]),2)</f>
        <v>0</v>
      </c>
      <c r="O23" s="305">
        <f>IF(Eingabe!Q45="ja",ROUND(SUMIF(Tabelle7610[Maß-nahme],"3",Tabelle7610[anerkannter Betrag nach Prüfung der Endabrechnung]),2),Overview!$AA$15)</f>
        <v>0</v>
      </c>
      <c r="P23" s="305">
        <f>IF(Eingabe!Q45="ja", SUMIF(Tabelle7610[Maß-nahme],"3",Tabelle7610[aberkannter Betrag nach Prüfung der Endabrechnung])-SUMIF(Tabelle7610[Maß-nahme],"3",Tabelle7610[Betrag der Änderung der Aberkennung 
(+ entspricht Zuerkennung)]),Overview!$AA$15)</f>
        <v>0</v>
      </c>
      <c r="Q23" s="270"/>
      <c r="R23" s="270"/>
      <c r="S23" s="270"/>
      <c r="T23" s="270"/>
      <c r="U23" s="270"/>
      <c r="V23" s="270"/>
      <c r="W23" s="48"/>
    </row>
    <row r="24" spans="2:24" ht="14.15" customHeight="1" x14ac:dyDescent="0.35">
      <c r="B24" s="45"/>
      <c r="C24" s="270"/>
      <c r="D24" s="270"/>
      <c r="E24" s="270"/>
      <c r="F24" s="270"/>
      <c r="G24" s="270"/>
      <c r="H24" s="270"/>
      <c r="I24" s="160" t="str">
        <f>Eingabe!K$18&amp;": "&amp;Eingabe!K$19</f>
        <v>Maßnahme 4: keine</v>
      </c>
      <c r="J24" s="151">
        <f>ROUND(SUMIFS(Tabelle7610[Betrag (bei aliquotierten Beträgen als Formel)],Tabelle7610[Abrechnungs-zeitraum],"A", Tabelle7610[Maß-nahme], 4),2)</f>
        <v>0</v>
      </c>
      <c r="K24" s="151">
        <f>ROUND(SUMIFS(Tabelle7610[Betrag (bei aliquotierten Beträgen als Formel)],Tabelle7610[Abrechnungs-zeitraum],"B", Tabelle7610[Maß-nahme], 4),2)</f>
        <v>0</v>
      </c>
      <c r="L24" s="151">
        <f>ROUND(SUMIFS(Tabelle7610[Betrag (bei aliquotierten Beträgen als Formel)],Tabelle7610[Abrechnungs-zeitraum],"C", Tabelle7610[Maß-nahme], 4),2)</f>
        <v>0</v>
      </c>
      <c r="M24" s="151">
        <f>ROUND(SUMIFS(Tabelle7610[Betrag (bei aliquotierten Beträgen als Formel)],Tabelle7610[Abrechnungs-zeitraum],"D", Tabelle7610[Maß-nahme], 4),2)</f>
        <v>0</v>
      </c>
      <c r="N24" s="306">
        <f>ROUND(SUMIF(Tabelle7610[Maß-nahme],"4",Tabelle7610[Betrag (bei aliquotierten Beträgen als Formel)]),2)</f>
        <v>0</v>
      </c>
      <c r="O24" s="305">
        <f>IF(Eingabe!Q45="ja", ROUND(SUMIF(Tabelle7610[Maß-nahme],"4",Tabelle7610[anerkannter Betrag nach Prüfung der Endabrechnung]),2),Overview!$AA$15)</f>
        <v>0</v>
      </c>
      <c r="P24" s="305">
        <f>IF(Eingabe!Q45="ja", SUMIF(Tabelle7610[Maß-nahme],"4",Tabelle7610[aberkannter Betrag nach Prüfung der Endabrechnung])-SUMIF(Tabelle7610[Maß-nahme],"4",Tabelle7610[Betrag der Änderung der Aberkennung 
(+ entspricht Zuerkennung)]),Overview!$AA$15)</f>
        <v>0</v>
      </c>
      <c r="Q24" s="270"/>
      <c r="R24" s="270"/>
      <c r="S24" s="270"/>
      <c r="T24" s="270"/>
      <c r="U24" s="270"/>
      <c r="V24" s="270"/>
      <c r="W24" s="48"/>
    </row>
    <row r="25" spans="2:24" ht="14.15" customHeight="1" x14ac:dyDescent="0.35">
      <c r="B25" s="45"/>
      <c r="C25" s="270"/>
      <c r="D25" s="270"/>
      <c r="E25" s="270"/>
      <c r="F25" s="270"/>
      <c r="G25" s="270"/>
      <c r="H25" s="270"/>
      <c r="I25" s="160" t="str">
        <f>Eingabe!L$18&amp;": "&amp;Eingabe!L$19</f>
        <v>Maßnahme 5: keine</v>
      </c>
      <c r="J25" s="151">
        <f>ROUND(SUMIFS(Tabelle7610[Betrag (bei aliquotierten Beträgen als Formel)],Tabelle7610[Abrechnungs-zeitraum],"A", Tabelle7610[Maß-nahme], 5),2)</f>
        <v>0</v>
      </c>
      <c r="K25" s="151">
        <f>ROUND(SUMIFS(Tabelle7610[Betrag (bei aliquotierten Beträgen als Formel)],Tabelle7610[Abrechnungs-zeitraum],"B", Tabelle7610[Maß-nahme], 5),2)</f>
        <v>0</v>
      </c>
      <c r="L25" s="151">
        <f>ROUND(SUMIFS(Tabelle7610[Betrag (bei aliquotierten Beträgen als Formel)],Tabelle7610[Abrechnungs-zeitraum],"C", Tabelle7610[Maß-nahme], 5),2)</f>
        <v>0</v>
      </c>
      <c r="M25" s="151">
        <f>ROUND(SUMIFS(Tabelle7610[Betrag (bei aliquotierten Beträgen als Formel)],Tabelle7610[Abrechnungs-zeitraum],"D", Tabelle7610[Maß-nahme], 5),2)</f>
        <v>0</v>
      </c>
      <c r="N25" s="306">
        <f>ROUND(SUMIF(Tabelle7610[Maß-nahme],"5",Tabelle7610[Betrag (bei aliquotierten Beträgen als Formel)]),2)</f>
        <v>0</v>
      </c>
      <c r="O25" s="305">
        <f>IF(Eingabe!Q45="ja", ROUND(SUMIF(Tabelle7610[Maß-nahme],"5",Tabelle7610[anerkannter Betrag nach Prüfung der Endabrechnung]),2),Overview!$AA$15)</f>
        <v>0</v>
      </c>
      <c r="P25" s="305">
        <f>IF(Eingabe!Q45="ja", SUMIF(Tabelle7610[Maß-nahme],"5",Tabelle7610[aberkannter Betrag nach Prüfung der Endabrechnung])-SUMIF(Tabelle7610[Maß-nahme],"5",Tabelle7610[Betrag der Änderung der Aberkennung 
(+ entspricht Zuerkennung)]),Overview!$AA$15)</f>
        <v>0</v>
      </c>
      <c r="Q25" s="270"/>
      <c r="R25" s="270"/>
      <c r="S25" s="270"/>
      <c r="T25" s="270"/>
      <c r="U25" s="270"/>
      <c r="V25" s="270"/>
      <c r="W25" s="48"/>
    </row>
    <row r="26" spans="2:24" ht="14.15" customHeight="1" x14ac:dyDescent="0.35">
      <c r="B26" s="45"/>
      <c r="C26" s="270"/>
      <c r="D26" s="270"/>
      <c r="E26" s="270"/>
      <c r="F26" s="270"/>
      <c r="G26" s="270"/>
      <c r="H26" s="270"/>
      <c r="I26" s="160" t="str">
        <f>Eingabe!M$18&amp;": "&amp;Eingabe!M$19</f>
        <v>Maßnahme 6: keine</v>
      </c>
      <c r="J26" s="151">
        <f>ROUND(SUMIFS(Tabelle7610[Betrag (bei aliquotierten Beträgen als Formel)],Tabelle7610[Abrechnungs-zeitraum],"A", Tabelle7610[Maß-nahme], 6),2)</f>
        <v>0</v>
      </c>
      <c r="K26" s="151">
        <f>ROUND(SUMIFS(Tabelle7610[Betrag (bei aliquotierten Beträgen als Formel)],Tabelle7610[Abrechnungs-zeitraum],"B", Tabelle7610[Maß-nahme], 6),2)</f>
        <v>0</v>
      </c>
      <c r="L26" s="151">
        <f>ROUND(SUMIFS(Tabelle7610[Betrag (bei aliquotierten Beträgen als Formel)],Tabelle7610[Abrechnungs-zeitraum],"C", Tabelle7610[Maß-nahme], 6),2)</f>
        <v>0</v>
      </c>
      <c r="M26" s="151">
        <f>ROUND(SUMIFS(Tabelle7610[Betrag (bei aliquotierten Beträgen als Formel)],Tabelle7610[Abrechnungs-zeitraum],"D", Tabelle7610[Maß-nahme], 6),2)</f>
        <v>0</v>
      </c>
      <c r="N26" s="306">
        <f>ROUND(SUMIF(Tabelle7610[Maß-nahme],"6",Tabelle7610[Betrag (bei aliquotierten Beträgen als Formel)]),2)</f>
        <v>0</v>
      </c>
      <c r="O26" s="305">
        <f>IF(Eingabe!Q45="ja", ROUND(SUMIF(Tabelle7610[Maß-nahme],"6",Tabelle7610[anerkannter Betrag nach Prüfung der Endabrechnung]),2),Overview!$AA$15)</f>
        <v>0</v>
      </c>
      <c r="P26" s="305">
        <f>IF(Eingabe!Q45="ja", SUMIF(Tabelle7610[Maß-nahme],"6",Tabelle7610[aberkannter Betrag nach Prüfung der Endabrechnung])-SUMIF(Tabelle7610[Maß-nahme],"6",Tabelle7610[Betrag der Änderung der Aberkennung 
(+ entspricht Zuerkennung)]),Overview!$AA$15)</f>
        <v>0</v>
      </c>
      <c r="Q26" s="270"/>
      <c r="R26" s="270"/>
      <c r="S26" s="270"/>
      <c r="T26" s="270"/>
      <c r="U26" s="270"/>
      <c r="V26" s="270"/>
      <c r="W26" s="48"/>
    </row>
    <row r="27" spans="2:24" ht="14.15" customHeight="1" x14ac:dyDescent="0.35">
      <c r="B27" s="45"/>
      <c r="C27" s="270"/>
      <c r="D27" s="270"/>
      <c r="E27" s="270"/>
      <c r="F27" s="270"/>
      <c r="G27" s="270"/>
      <c r="H27" s="270"/>
      <c r="I27" s="160" t="str">
        <f>Eingabe!N$18&amp;": "&amp;Eingabe!N$19</f>
        <v>Maßnahme 7: keine</v>
      </c>
      <c r="J27" s="151">
        <f>ROUND(SUMIFS(Tabelle7610[Betrag (bei aliquotierten Beträgen als Formel)],Tabelle7610[Abrechnungs-zeitraum],"A", Tabelle7610[Maß-nahme], 7),2)</f>
        <v>0</v>
      </c>
      <c r="K27" s="151">
        <f>ROUND(SUMIFS(Tabelle7610[Betrag (bei aliquotierten Beträgen als Formel)],Tabelle7610[Abrechnungs-zeitraum],"B", Tabelle7610[Maß-nahme], 7),2)</f>
        <v>0</v>
      </c>
      <c r="L27" s="151">
        <f>ROUND(SUMIFS(Tabelle7610[Betrag (bei aliquotierten Beträgen als Formel)],Tabelle7610[Abrechnungs-zeitraum],"C", Tabelle7610[Maß-nahme], 7),2)</f>
        <v>0</v>
      </c>
      <c r="M27" s="151">
        <f>ROUND(SUMIFS(Tabelle7610[Betrag (bei aliquotierten Beträgen als Formel)],Tabelle7610[Abrechnungs-zeitraum],"D", Tabelle7610[Maß-nahme], 7),2)</f>
        <v>0</v>
      </c>
      <c r="N27" s="306">
        <f>ROUND(SUMIF(Tabelle7610[Maß-nahme],"7",Tabelle7610[Betrag (bei aliquotierten Beträgen als Formel)]),2)</f>
        <v>0</v>
      </c>
      <c r="O27" s="305">
        <f>IF(Eingabe!Q45="ja", ROUND(SUMIF(Tabelle7610[Maß-nahme],"7",Tabelle7610[anerkannter Betrag nach Prüfung der Endabrechnung]),2),Overview!$AA$15)</f>
        <v>0</v>
      </c>
      <c r="P27" s="305">
        <f>IF(Eingabe!Q45="ja", SUMIF(Tabelle7610[Maß-nahme],"7",Tabelle7610[aberkannter Betrag nach Prüfung der Endabrechnung])-SUMIF(Tabelle7610[Maß-nahme],"7",Tabelle7610[Betrag der Änderung der Aberkennung 
(+ entspricht Zuerkennung)]),Overview!$AA$15)</f>
        <v>0</v>
      </c>
      <c r="Q27" s="270"/>
      <c r="R27" s="270"/>
      <c r="S27" s="270"/>
      <c r="T27" s="270"/>
      <c r="U27" s="270"/>
      <c r="V27" s="270"/>
      <c r="W27" s="48"/>
    </row>
    <row r="28" spans="2:24" ht="14.15" customHeight="1" x14ac:dyDescent="0.35">
      <c r="B28" s="45"/>
      <c r="C28" s="270"/>
      <c r="D28" s="270"/>
      <c r="E28" s="270"/>
      <c r="F28" s="270"/>
      <c r="G28" s="270"/>
      <c r="H28" s="270"/>
      <c r="I28" s="160" t="str">
        <f>Eingabe!O$18&amp;": "&amp;Eingabe!O$19</f>
        <v>Maßnahme 8: keine</v>
      </c>
      <c r="J28" s="151">
        <f>ROUND(SUMIFS(Tabelle7610[Betrag (bei aliquotierten Beträgen als Formel)],Tabelle7610[Abrechnungs-zeitraum],"A", Tabelle7610[Maß-nahme], 8),2)</f>
        <v>0</v>
      </c>
      <c r="K28" s="151">
        <f>ROUND(SUMIFS(Tabelle7610[Betrag (bei aliquotierten Beträgen als Formel)],Tabelle7610[Abrechnungs-zeitraum],"B", Tabelle7610[Maß-nahme], 8),2)</f>
        <v>0</v>
      </c>
      <c r="L28" s="151">
        <f>ROUND(SUMIFS(Tabelle7610[Betrag (bei aliquotierten Beträgen als Formel)],Tabelle7610[Abrechnungs-zeitraum],"C", Tabelle7610[Maß-nahme], 8),2)</f>
        <v>0</v>
      </c>
      <c r="M28" s="151">
        <f>ROUND(SUMIFS(Tabelle7610[Betrag (bei aliquotierten Beträgen als Formel)],Tabelle7610[Abrechnungs-zeitraum],"D", Tabelle7610[Maß-nahme], 8),2)</f>
        <v>0</v>
      </c>
      <c r="N28" s="306">
        <f>ROUND(SUMIF(Tabelle7610[Maß-nahme],"8",Tabelle7610[Betrag (bei aliquotierten Beträgen als Formel)]),2)</f>
        <v>0</v>
      </c>
      <c r="O28" s="305">
        <f>IF(Eingabe!Q45="ja", ROUND(SUMIF(Tabelle7610[Maß-nahme],"8",Tabelle7610[anerkannter Betrag nach Prüfung der Endabrechnung]),2),Overview!$AA$15)</f>
        <v>0</v>
      </c>
      <c r="P28" s="305">
        <f>IF(Eingabe!Q45="ja", SUMIF(Tabelle7610[Maß-nahme],"8",Tabelle7610[aberkannter Betrag nach Prüfung der Endabrechnung])-SUMIF(Tabelle7610[Maß-nahme],"8",Tabelle7610[Betrag der Änderung der Aberkennung 
(+ entspricht Zuerkennung)]),Overview!$AA$15)</f>
        <v>0</v>
      </c>
      <c r="Q28" s="270"/>
      <c r="R28" s="270"/>
      <c r="S28" s="270"/>
      <c r="T28" s="270"/>
      <c r="U28" s="270"/>
      <c r="V28" s="270"/>
      <c r="W28" s="48"/>
    </row>
    <row r="29" spans="2:24" ht="14.15" customHeight="1" x14ac:dyDescent="0.35">
      <c r="B29" s="45"/>
      <c r="C29" s="270"/>
      <c r="D29" s="270"/>
      <c r="E29" s="270"/>
      <c r="F29" s="270"/>
      <c r="G29" s="270"/>
      <c r="H29" s="270"/>
      <c r="I29" s="160" t="str">
        <f>Eingabe!P$18&amp;": "&amp;Eingabe!P$19</f>
        <v>Maßnahme 9: keine</v>
      </c>
      <c r="J29" s="151">
        <f>ROUND(SUMIFS(Tabelle7610[Betrag (bei aliquotierten Beträgen als Formel)],Tabelle7610[Abrechnungs-zeitraum],"A", Tabelle7610[Maß-nahme], 9),2)</f>
        <v>0</v>
      </c>
      <c r="K29" s="151">
        <f>ROUND(SUMIFS(Tabelle7610[Betrag (bei aliquotierten Beträgen als Formel)],Tabelle7610[Abrechnungs-zeitraum],"B", Tabelle7610[Maß-nahme], 9),2)</f>
        <v>0</v>
      </c>
      <c r="L29" s="151">
        <f>ROUND(SUMIFS(Tabelle7610[Betrag (bei aliquotierten Beträgen als Formel)],Tabelle7610[Abrechnungs-zeitraum],"C", Tabelle7610[Maß-nahme], 9),2)</f>
        <v>0</v>
      </c>
      <c r="M29" s="151">
        <f>ROUND(SUMIFS(Tabelle7610[Betrag (bei aliquotierten Beträgen als Formel)],Tabelle7610[Abrechnungs-zeitraum],"D", Tabelle7610[Maß-nahme], 9),2)</f>
        <v>0</v>
      </c>
      <c r="N29" s="306">
        <f>ROUND(SUMIF(Tabelle7610[Maß-nahme],"9",Tabelle7610[Betrag (bei aliquotierten Beträgen als Formel)]),2)</f>
        <v>0</v>
      </c>
      <c r="O29" s="305">
        <f>IF(Eingabe!Q45="ja", ROUND(SUMIF(Tabelle7610[Maß-nahme],"9",Tabelle7610[anerkannter Betrag nach Prüfung der Endabrechnung]),2),Overview!$AA$15)</f>
        <v>0</v>
      </c>
      <c r="P29" s="305">
        <f>IF(Eingabe!Q45="ja", SUMIF(Tabelle7610[Maß-nahme],"9",Tabelle7610[aberkannter Betrag nach Prüfung der Endabrechnung])-SUMIF(Tabelle7610[Maß-nahme],"9",Tabelle7610[Betrag der Änderung der Aberkennung 
(+ entspricht Zuerkennung)]),Overview!$AA$15)</f>
        <v>0</v>
      </c>
      <c r="Q29" s="270"/>
      <c r="R29" s="270"/>
      <c r="S29" s="270"/>
      <c r="T29" s="270"/>
      <c r="U29" s="270"/>
      <c r="V29" s="270"/>
      <c r="W29" s="48"/>
    </row>
    <row r="30" spans="2:24" ht="14.15" customHeight="1" x14ac:dyDescent="0.35">
      <c r="B30" s="45"/>
      <c r="C30" s="270"/>
      <c r="D30" s="270"/>
      <c r="E30" s="270"/>
      <c r="F30" s="270"/>
      <c r="G30" s="270"/>
      <c r="H30" s="270"/>
      <c r="I30" s="160" t="str">
        <f>Eingabe!Q$18&amp;": "&amp;Eingabe!Q$19</f>
        <v>Maßnahme 10: keine</v>
      </c>
      <c r="J30" s="151">
        <f>ROUND(SUMIFS(Tabelle7610[Betrag (bei aliquotierten Beträgen als Formel)],Tabelle7610[Abrechnungs-zeitraum],"A", Tabelle7610[Maß-nahme], 10),2)</f>
        <v>0</v>
      </c>
      <c r="K30" s="151">
        <f>ROUND(SUMIFS(Tabelle7610[Betrag (bei aliquotierten Beträgen als Formel)],Tabelle7610[Abrechnungs-zeitraum],"B", Tabelle7610[Maß-nahme], 10),2)</f>
        <v>0</v>
      </c>
      <c r="L30" s="151">
        <f>ROUND(SUMIFS(Tabelle7610[Betrag (bei aliquotierten Beträgen als Formel)],Tabelle7610[Abrechnungs-zeitraum],"C", Tabelle7610[Maß-nahme], 10),2)</f>
        <v>0</v>
      </c>
      <c r="M30" s="151">
        <f>ROUND(SUMIFS(Tabelle7610[Betrag (bei aliquotierten Beträgen als Formel)],Tabelle7610[Abrechnungs-zeitraum],"D", Tabelle7610[Maß-nahme], 10),2)</f>
        <v>0</v>
      </c>
      <c r="N30" s="306">
        <f>ROUND(SUMIF(Tabelle7610[Maß-nahme],"10",Tabelle7610[Betrag (bei aliquotierten Beträgen als Formel)]),2)</f>
        <v>0</v>
      </c>
      <c r="O30" s="305">
        <f>IF(Eingabe!Q45="ja", ROUND(SUMIF(Tabelle7610[Maß-nahme],"10",Tabelle7610[anerkannter Betrag nach Prüfung der Endabrechnung]),2),Overview!$AA$15)</f>
        <v>0</v>
      </c>
      <c r="P30" s="305">
        <f>IF(Eingabe!Q45="ja", SUMIF(Tabelle7610[Maß-nahme],"10",Tabelle7610[aberkannter Betrag nach Prüfung der Endabrechnung])-SUMIF(Tabelle7610[Maß-nahme],"10",Tabelle7610[Betrag der Änderung der Aberkennung 
(+ entspricht Zuerkennung)]),Overview!$AA$15)</f>
        <v>0</v>
      </c>
      <c r="Q30" s="270"/>
      <c r="R30" s="270"/>
      <c r="S30" s="270"/>
      <c r="T30" s="270"/>
      <c r="U30" s="270"/>
      <c r="V30" s="270"/>
      <c r="W30" s="48"/>
    </row>
    <row r="31" spans="2:24" ht="14.15" customHeight="1" x14ac:dyDescent="0.35">
      <c r="B31" s="45"/>
      <c r="C31" s="270"/>
      <c r="D31" s="270"/>
      <c r="E31" s="270"/>
      <c r="F31" s="270"/>
      <c r="G31" s="270"/>
      <c r="H31" s="270"/>
      <c r="I31" s="307" t="s">
        <v>145</v>
      </c>
      <c r="J31" s="306">
        <f>ROUND(SUMIF(Tabelle7610[Abrechnungs-zeitraum],"A",Tabelle7610[Betrag (bei aliquotierten Beträgen als Formel)]),2)</f>
        <v>0</v>
      </c>
      <c r="K31" s="306">
        <f>ROUND(SUMIF(Tabelle7610[Abrechnungs-zeitraum],"B",Tabelle7610[Betrag (bei aliquotierten Beträgen als Formel)]),2)</f>
        <v>0</v>
      </c>
      <c r="L31" s="306">
        <f>ROUND(SUMIF(Tabelle7610[Abrechnungs-zeitraum],"C",Tabelle7610[Betrag (bei aliquotierten Beträgen als Formel)]),2)</f>
        <v>0</v>
      </c>
      <c r="M31" s="306">
        <f>ROUND(SUMIF(Tabelle7610[Abrechnungs-zeitraum],"D",Tabelle7610[Betrag (bei aliquotierten Beträgen als Formel)]),2)</f>
        <v>0</v>
      </c>
      <c r="N31" s="306">
        <f>SUM(N21:N30)</f>
        <v>0</v>
      </c>
      <c r="O31" s="306">
        <f>IF(Eingabe!Q45="ja", SUM(Tabelle7610[anerkannter Betrag nach Prüfung der Endabrechnung]),Overview!$AA$15)</f>
        <v>0</v>
      </c>
      <c r="P31" s="306">
        <f>IF(Eingabe!Q45="ja", SUM(Tabelle7610[aberkannter Betrag nach Prüfung der Endabrechnung])-SUM(Tabelle7610[Betrag der Änderung der Aberkennung 
(+ entspricht Zuerkennung)]),Overview!$AA$15)</f>
        <v>0</v>
      </c>
      <c r="Q31" s="270"/>
      <c r="R31" s="270"/>
      <c r="S31" s="270"/>
      <c r="T31" s="270"/>
      <c r="U31" s="270"/>
      <c r="V31" s="270"/>
      <c r="W31" s="48"/>
    </row>
    <row r="32" spans="2:24" ht="18.75" customHeight="1" x14ac:dyDescent="0.35">
      <c r="B32" s="55"/>
      <c r="C32" s="56"/>
      <c r="D32" s="56"/>
      <c r="E32" s="56"/>
      <c r="F32" s="56"/>
      <c r="G32" s="56"/>
      <c r="H32" s="56"/>
      <c r="I32" s="56"/>
      <c r="J32" s="56"/>
      <c r="K32" s="56"/>
      <c r="L32" s="56"/>
      <c r="M32" s="56"/>
      <c r="N32" s="56"/>
      <c r="O32" s="56"/>
      <c r="P32" s="56"/>
      <c r="Q32" s="56"/>
      <c r="R32" s="56"/>
      <c r="S32" s="56"/>
      <c r="T32" s="56"/>
      <c r="U32" s="56"/>
      <c r="V32" s="56"/>
      <c r="W32" s="57"/>
    </row>
  </sheetData>
  <sheetProtection password="FFFD" sheet="1" insertRows="0"/>
  <protectedRanges>
    <protectedRange password="CDD2" sqref="N8:N17 P8:R17 T8:U17" name="Prüfung"/>
  </protectedRanges>
  <mergeCells count="10">
    <mergeCell ref="T6:U6"/>
    <mergeCell ref="K6:L6"/>
    <mergeCell ref="D6:J6"/>
    <mergeCell ref="N6:R6"/>
    <mergeCell ref="C3:H3"/>
    <mergeCell ref="N3:Q3"/>
    <mergeCell ref="R3:S3"/>
    <mergeCell ref="T3:U3"/>
    <mergeCell ref="C5:M5"/>
    <mergeCell ref="N5:V5"/>
  </mergeCells>
  <conditionalFormatting sqref="K8:L17 N8:N17">
    <cfRule type="containsText" dxfId="151" priority="7" operator="containsText" text="j">
      <formula>NOT(ISERROR(SEARCH("j",K8)))</formula>
    </cfRule>
  </conditionalFormatting>
  <conditionalFormatting sqref="K8:K17">
    <cfRule type="expression" dxfId="150" priority="5">
      <formula>AND(L8="j",NOT(K8="j"))</formula>
    </cfRule>
  </conditionalFormatting>
  <conditionalFormatting sqref="E8:E17">
    <cfRule type="expression" dxfId="149" priority="3">
      <formula>AND(NOT(E8="a"),NOT(E8="b"),NOT(E8="c"),NOT(E8="d"),NOT(M8=0))</formula>
    </cfRule>
  </conditionalFormatting>
  <conditionalFormatting sqref="F8:F17">
    <cfRule type="expression" dxfId="148" priority="2">
      <formula>AND(NOT(F8=1),NOT(F8=2),NOT(F8=3),NOT(F8=4),NOT(F8=5),NOT(F8=6),NOT(F8=7),NOT(F8=8),NOT(F8=9),NOT(F8=10),NOT(M8=0))</formula>
    </cfRule>
  </conditionalFormatting>
  <conditionalFormatting sqref="R8:R17">
    <cfRule type="containsText" dxfId="147" priority="1" operator="containsText" text="j">
      <formula>NOT(ISERROR(SEARCH("j",R8)))</formula>
    </cfRule>
  </conditionalFormatting>
  <pageMargins left="0.25" right="0.25" top="0.75" bottom="0.75" header="0.3" footer="0.3"/>
  <pageSetup paperSize="9" scale="32" fitToHeight="0" orientation="landscape" r:id="rId1"/>
  <ignoredErrors>
    <ignoredError sqref="O8" calculatedColumn="1"/>
    <ignoredError sqref="O9:O17" unlockedFormula="1" calculatedColumn="1"/>
  </ignoredErrors>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2EE44E50-A5D9-46DA-B916-BB56DE746569}">
            <xm:f>AND(Eingabe!$Q$45="ja",L8="j",NOT(N8="j"))</xm:f>
            <x14:dxf>
              <fill>
                <patternFill>
                  <bgColor theme="5" tint="0.59996337778862885"/>
                </patternFill>
              </fill>
            </x14:dxf>
          </x14:cfRule>
          <xm:sqref>N8:N17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2:X32"/>
  <sheetViews>
    <sheetView showGridLines="0" zoomScaleNormal="100" workbookViewId="0">
      <selection activeCell="G9" sqref="G9"/>
    </sheetView>
  </sheetViews>
  <sheetFormatPr baseColWidth="10" defaultColWidth="11.453125" defaultRowHeight="13" x14ac:dyDescent="0.35"/>
  <cols>
    <col min="1" max="2" width="2.54296875" style="44" customWidth="1"/>
    <col min="3" max="3" width="8.453125" style="44" customWidth="1"/>
    <col min="4" max="4" width="10.54296875" style="44" customWidth="1"/>
    <col min="5" max="5" width="11.08984375" style="44" customWidth="1"/>
    <col min="6" max="6" width="8.453125" style="44" customWidth="1"/>
    <col min="7" max="7" width="15.90625" style="44" customWidth="1"/>
    <col min="8" max="8" width="37.453125" style="44" customWidth="1"/>
    <col min="9" max="9" width="60.90625" style="44" customWidth="1"/>
    <col min="10" max="16" width="14.6328125" style="44" customWidth="1"/>
    <col min="17" max="17" width="45.54296875" style="44" customWidth="1"/>
    <col min="18" max="18" width="10.54296875" style="44" customWidth="1"/>
    <col min="19" max="19" width="45.54296875" style="44" customWidth="1"/>
    <col min="20" max="20" width="20.54296875" style="44" customWidth="1"/>
    <col min="21" max="21" width="45.54296875" style="44" customWidth="1"/>
    <col min="22" max="22" width="9.453125" style="44" customWidth="1"/>
    <col min="23" max="23" width="2.54296875" style="44" customWidth="1"/>
    <col min="24" max="16384" width="11.453125" style="44"/>
  </cols>
  <sheetData>
    <row r="2" spans="2:23" ht="18.75" customHeight="1" x14ac:dyDescent="0.35">
      <c r="B2" s="40"/>
      <c r="C2" s="41"/>
      <c r="D2" s="41"/>
      <c r="E2" s="41"/>
      <c r="F2" s="41"/>
      <c r="G2" s="41"/>
      <c r="H2" s="41"/>
      <c r="I2" s="41"/>
      <c r="J2" s="41"/>
      <c r="K2" s="41"/>
      <c r="L2" s="41"/>
      <c r="M2" s="41"/>
      <c r="N2" s="41"/>
      <c r="O2" s="42"/>
      <c r="P2" s="42"/>
      <c r="Q2" s="42"/>
      <c r="R2" s="42"/>
      <c r="S2" s="42"/>
      <c r="T2" s="42"/>
      <c r="U2" s="42"/>
      <c r="V2" s="42"/>
      <c r="W2" s="43"/>
    </row>
    <row r="3" spans="2:23" ht="22.5" customHeight="1" x14ac:dyDescent="0.35">
      <c r="B3" s="45"/>
      <c r="C3" s="583" t="s">
        <v>16</v>
      </c>
      <c r="D3" s="583"/>
      <c r="E3" s="583"/>
      <c r="F3" s="583"/>
      <c r="G3" s="583"/>
      <c r="H3" s="583"/>
      <c r="I3" s="167"/>
      <c r="J3" s="46"/>
      <c r="K3" s="46"/>
      <c r="L3" s="46"/>
      <c r="M3" s="46"/>
      <c r="N3" s="583"/>
      <c r="O3" s="583"/>
      <c r="P3" s="583"/>
      <c r="Q3" s="583"/>
      <c r="R3" s="591"/>
      <c r="S3" s="591"/>
      <c r="T3" s="592"/>
      <c r="U3" s="592"/>
      <c r="V3" s="166"/>
      <c r="W3" s="48"/>
    </row>
    <row r="4" spans="2:23" ht="21.5" thickBot="1" x14ac:dyDescent="0.4">
      <c r="B4" s="45"/>
      <c r="C4" s="166"/>
      <c r="D4" s="166"/>
      <c r="E4" s="166"/>
      <c r="F4" s="166"/>
      <c r="G4" s="166"/>
      <c r="H4" s="166"/>
      <c r="I4" s="166"/>
      <c r="J4" s="166"/>
      <c r="K4" s="166"/>
      <c r="L4" s="166"/>
      <c r="M4" s="166"/>
      <c r="N4" s="166"/>
      <c r="O4" s="49"/>
      <c r="P4" s="49"/>
      <c r="Q4" s="49"/>
      <c r="R4" s="49"/>
      <c r="S4" s="49"/>
      <c r="T4" s="49"/>
      <c r="U4" s="166"/>
      <c r="V4" s="166"/>
      <c r="W4" s="48"/>
    </row>
    <row r="5" spans="2:23" ht="15.75" customHeight="1" x14ac:dyDescent="0.35">
      <c r="B5" s="45"/>
      <c r="C5" s="586" t="s">
        <v>106</v>
      </c>
      <c r="D5" s="587"/>
      <c r="E5" s="587"/>
      <c r="F5" s="587"/>
      <c r="G5" s="587"/>
      <c r="H5" s="587"/>
      <c r="I5" s="587"/>
      <c r="J5" s="587"/>
      <c r="K5" s="587"/>
      <c r="L5" s="587"/>
      <c r="M5" s="588"/>
      <c r="N5" s="584" t="str">
        <f>C5 &amp; " - Prüfung"</f>
        <v>c.2) Sonstige projektspezifische Ausgaben - Prüfung</v>
      </c>
      <c r="O5" s="584"/>
      <c r="P5" s="584"/>
      <c r="Q5" s="584"/>
      <c r="R5" s="584"/>
      <c r="S5" s="584"/>
      <c r="T5" s="584"/>
      <c r="U5" s="584"/>
      <c r="V5" s="585"/>
      <c r="W5" s="48"/>
    </row>
    <row r="6" spans="2:23" ht="15.75" customHeight="1" thickBot="1" x14ac:dyDescent="0.4">
      <c r="B6" s="45"/>
      <c r="C6" s="276"/>
      <c r="D6" s="605" t="s">
        <v>104</v>
      </c>
      <c r="E6" s="597"/>
      <c r="F6" s="597"/>
      <c r="G6" s="597"/>
      <c r="H6" s="597"/>
      <c r="I6" s="597"/>
      <c r="J6" s="606"/>
      <c r="K6" s="613" t="s">
        <v>148</v>
      </c>
      <c r="L6" s="596"/>
      <c r="M6" s="80"/>
      <c r="N6" s="589" t="s">
        <v>91</v>
      </c>
      <c r="O6" s="589"/>
      <c r="P6" s="589"/>
      <c r="Q6" s="589"/>
      <c r="R6" s="590"/>
      <c r="S6" s="60" t="s">
        <v>90</v>
      </c>
      <c r="T6" s="593" t="s">
        <v>91</v>
      </c>
      <c r="U6" s="594"/>
      <c r="V6" s="66"/>
      <c r="W6" s="48"/>
    </row>
    <row r="7" spans="2:23" ht="60" customHeight="1" x14ac:dyDescent="0.35">
      <c r="B7" s="45"/>
      <c r="C7" s="72" t="s">
        <v>9</v>
      </c>
      <c r="D7" s="100" t="s">
        <v>77</v>
      </c>
      <c r="E7" s="100" t="s">
        <v>114</v>
      </c>
      <c r="F7" s="100" t="s">
        <v>115</v>
      </c>
      <c r="G7" s="73" t="s">
        <v>7</v>
      </c>
      <c r="H7" s="73" t="s">
        <v>102</v>
      </c>
      <c r="I7" s="346" t="s">
        <v>92</v>
      </c>
      <c r="J7" s="347" t="s">
        <v>159</v>
      </c>
      <c r="K7" s="79" t="s">
        <v>62</v>
      </c>
      <c r="L7" s="79" t="s">
        <v>52</v>
      </c>
      <c r="M7" s="324" t="s">
        <v>53</v>
      </c>
      <c r="N7" s="296" t="s">
        <v>59</v>
      </c>
      <c r="O7" s="279" t="s">
        <v>151</v>
      </c>
      <c r="P7" s="280" t="s">
        <v>152</v>
      </c>
      <c r="Q7" s="281" t="s">
        <v>40</v>
      </c>
      <c r="R7" s="282" t="s">
        <v>57</v>
      </c>
      <c r="S7" s="283" t="s">
        <v>89</v>
      </c>
      <c r="T7" s="280" t="s">
        <v>54</v>
      </c>
      <c r="U7" s="281" t="s">
        <v>48</v>
      </c>
      <c r="V7" s="59" t="s">
        <v>95</v>
      </c>
      <c r="W7" s="48"/>
    </row>
    <row r="8" spans="2:23" ht="14.5" x14ac:dyDescent="0.35">
      <c r="B8" s="45"/>
      <c r="C8" s="92" t="str">
        <f>"c.2."&amp;ROW()-7</f>
        <v>c.2.1</v>
      </c>
      <c r="D8" s="93"/>
      <c r="E8" s="93"/>
      <c r="F8" s="93"/>
      <c r="G8" s="410"/>
      <c r="H8" s="76"/>
      <c r="I8" s="317"/>
      <c r="J8" s="348"/>
      <c r="K8" s="76"/>
      <c r="L8" s="76"/>
      <c r="M8" s="163"/>
      <c r="N8" s="297"/>
      <c r="O8" s="83">
        <f>IF(Eingabe!$Q$45="ja", M8-P8+T8,Overview!$AA$15)</f>
        <v>0</v>
      </c>
      <c r="P8" s="84"/>
      <c r="Q8" s="85"/>
      <c r="R8" s="86"/>
      <c r="S8" s="87"/>
      <c r="T8" s="82"/>
      <c r="U8" s="85"/>
      <c r="V8" s="285" t="str">
        <f>C8</f>
        <v>c.2.1</v>
      </c>
      <c r="W8" s="48"/>
    </row>
    <row r="9" spans="2:23" ht="14.5" x14ac:dyDescent="0.35">
      <c r="B9" s="45"/>
      <c r="C9" s="92" t="str">
        <f t="shared" ref="C9:C17" si="0">"c.2."&amp;ROW()-7</f>
        <v>c.2.2</v>
      </c>
      <c r="D9" s="93"/>
      <c r="E9" s="93"/>
      <c r="F9" s="93"/>
      <c r="G9" s="410"/>
      <c r="H9" s="76"/>
      <c r="I9" s="317"/>
      <c r="J9" s="348"/>
      <c r="K9" s="76"/>
      <c r="L9" s="76"/>
      <c r="M9" s="163"/>
      <c r="N9" s="297"/>
      <c r="O9" s="83">
        <f>IF(Eingabe!$Q$45="ja", M9-P9+T9,Overview!$AA$15)</f>
        <v>0</v>
      </c>
      <c r="P9" s="84"/>
      <c r="Q9" s="85"/>
      <c r="R9" s="86"/>
      <c r="S9" s="87"/>
      <c r="T9" s="82"/>
      <c r="U9" s="85"/>
      <c r="V9" s="286" t="str">
        <f>C9</f>
        <v>c.2.2</v>
      </c>
      <c r="W9" s="48"/>
    </row>
    <row r="10" spans="2:23" ht="14.5" x14ac:dyDescent="0.35">
      <c r="B10" s="45"/>
      <c r="C10" s="92" t="str">
        <f t="shared" si="0"/>
        <v>c.2.3</v>
      </c>
      <c r="D10" s="93"/>
      <c r="E10" s="93"/>
      <c r="F10" s="93"/>
      <c r="G10" s="410"/>
      <c r="H10" s="99"/>
      <c r="I10" s="317"/>
      <c r="J10" s="348"/>
      <c r="K10" s="76"/>
      <c r="L10" s="76"/>
      <c r="M10" s="163"/>
      <c r="N10" s="297"/>
      <c r="O10" s="83">
        <f>IF(Eingabe!$Q$45="ja", M10-P10+T10,Overview!$AA$15)</f>
        <v>0</v>
      </c>
      <c r="P10" s="84"/>
      <c r="Q10" s="85"/>
      <c r="R10" s="86"/>
      <c r="S10" s="87"/>
      <c r="T10" s="82"/>
      <c r="U10" s="85"/>
      <c r="V10" s="286" t="str">
        <f>C10</f>
        <v>c.2.3</v>
      </c>
      <c r="W10" s="48"/>
    </row>
    <row r="11" spans="2:23" ht="14.5" x14ac:dyDescent="0.35">
      <c r="B11" s="45"/>
      <c r="C11" s="92" t="str">
        <f t="shared" si="0"/>
        <v>c.2.4</v>
      </c>
      <c r="D11" s="275"/>
      <c r="E11" s="93"/>
      <c r="F11" s="275"/>
      <c r="G11" s="411"/>
      <c r="H11" s="76"/>
      <c r="I11" s="317"/>
      <c r="J11" s="349"/>
      <c r="K11" s="99"/>
      <c r="L11" s="76"/>
      <c r="M11" s="164"/>
      <c r="N11" s="298"/>
      <c r="O11" s="83">
        <f>IF(Eingabe!$Q$45="ja", M11-P11+T11,Overview!$AA$15)</f>
        <v>0</v>
      </c>
      <c r="P11" s="145"/>
      <c r="Q11" s="146"/>
      <c r="R11" s="89"/>
      <c r="S11" s="148"/>
      <c r="T11" s="149"/>
      <c r="U11" s="146"/>
      <c r="V11" s="287" t="str">
        <f t="shared" ref="V11:V16" si="1">C11</f>
        <v>c.2.4</v>
      </c>
      <c r="W11" s="48"/>
    </row>
    <row r="12" spans="2:23" ht="14.5" x14ac:dyDescent="0.35">
      <c r="B12" s="45"/>
      <c r="C12" s="92" t="str">
        <f t="shared" si="0"/>
        <v>c.2.5</v>
      </c>
      <c r="D12" s="93"/>
      <c r="E12" s="93"/>
      <c r="F12" s="93"/>
      <c r="G12" s="410"/>
      <c r="H12" s="76"/>
      <c r="I12" s="317"/>
      <c r="J12" s="348"/>
      <c r="K12" s="76"/>
      <c r="L12" s="76"/>
      <c r="M12" s="163"/>
      <c r="N12" s="297"/>
      <c r="O12" s="83">
        <f>IF(Eingabe!$Q$45="ja", M12-P12+T12,Overview!$AA$15)</f>
        <v>0</v>
      </c>
      <c r="P12" s="84"/>
      <c r="Q12" s="85"/>
      <c r="R12" s="86"/>
      <c r="S12" s="87"/>
      <c r="T12" s="82"/>
      <c r="U12" s="85"/>
      <c r="V12" s="286" t="str">
        <f t="shared" si="1"/>
        <v>c.2.5</v>
      </c>
      <c r="W12" s="48"/>
    </row>
    <row r="13" spans="2:23" ht="14.5" x14ac:dyDescent="0.35">
      <c r="B13" s="45"/>
      <c r="C13" s="92" t="str">
        <f t="shared" si="0"/>
        <v>c.2.6</v>
      </c>
      <c r="D13" s="93"/>
      <c r="E13" s="93"/>
      <c r="F13" s="93"/>
      <c r="G13" s="410"/>
      <c r="H13" s="76"/>
      <c r="I13" s="317"/>
      <c r="J13" s="348"/>
      <c r="K13" s="76"/>
      <c r="L13" s="76"/>
      <c r="M13" s="163"/>
      <c r="N13" s="297"/>
      <c r="O13" s="83">
        <f>IF(Eingabe!$Q$45="ja", M13-P13+T13,Overview!$AA$15)</f>
        <v>0</v>
      </c>
      <c r="P13" s="84"/>
      <c r="Q13" s="85"/>
      <c r="R13" s="86"/>
      <c r="S13" s="87"/>
      <c r="T13" s="82"/>
      <c r="U13" s="85"/>
      <c r="V13" s="286" t="str">
        <f t="shared" si="1"/>
        <v>c.2.6</v>
      </c>
      <c r="W13" s="48"/>
    </row>
    <row r="14" spans="2:23" ht="14.5" x14ac:dyDescent="0.35">
      <c r="B14" s="45"/>
      <c r="C14" s="92" t="str">
        <f t="shared" si="0"/>
        <v>c.2.7</v>
      </c>
      <c r="D14" s="93"/>
      <c r="E14" s="93"/>
      <c r="F14" s="93"/>
      <c r="G14" s="410"/>
      <c r="H14" s="76"/>
      <c r="I14" s="317"/>
      <c r="J14" s="348"/>
      <c r="K14" s="76"/>
      <c r="L14" s="76"/>
      <c r="M14" s="77"/>
      <c r="N14" s="297"/>
      <c r="O14" s="83">
        <f>IF(Eingabe!$Q$45="ja", M14-P14+T14,Overview!$AA$15)</f>
        <v>0</v>
      </c>
      <c r="P14" s="150"/>
      <c r="Q14" s="88"/>
      <c r="R14" s="89"/>
      <c r="S14" s="90"/>
      <c r="T14" s="91"/>
      <c r="U14" s="88"/>
      <c r="V14" s="286" t="str">
        <f>C14</f>
        <v>c.2.7</v>
      </c>
      <c r="W14" s="48"/>
    </row>
    <row r="15" spans="2:23" ht="14.5" x14ac:dyDescent="0.35">
      <c r="B15" s="45"/>
      <c r="C15" s="92" t="str">
        <f t="shared" si="0"/>
        <v>c.2.8</v>
      </c>
      <c r="D15" s="93"/>
      <c r="E15" s="93"/>
      <c r="F15" s="93"/>
      <c r="G15" s="410"/>
      <c r="H15" s="76"/>
      <c r="I15" s="317"/>
      <c r="J15" s="348"/>
      <c r="K15" s="76"/>
      <c r="L15" s="76"/>
      <c r="M15" s="77"/>
      <c r="N15" s="297"/>
      <c r="O15" s="83">
        <f>IF(Eingabe!$Q$45="ja", M15-P15+T15,Overview!$AA$15)</f>
        <v>0</v>
      </c>
      <c r="P15" s="150"/>
      <c r="Q15" s="88"/>
      <c r="R15" s="89"/>
      <c r="S15" s="90"/>
      <c r="T15" s="91"/>
      <c r="U15" s="88"/>
      <c r="V15" s="286" t="str">
        <f>C15</f>
        <v>c.2.8</v>
      </c>
      <c r="W15" s="48"/>
    </row>
    <row r="16" spans="2:23" ht="14.5" x14ac:dyDescent="0.35">
      <c r="B16" s="45"/>
      <c r="C16" s="92" t="str">
        <f t="shared" si="0"/>
        <v>c.2.9</v>
      </c>
      <c r="D16" s="93"/>
      <c r="E16" s="93"/>
      <c r="F16" s="93"/>
      <c r="G16" s="410"/>
      <c r="H16" s="76"/>
      <c r="I16" s="317"/>
      <c r="J16" s="348"/>
      <c r="K16" s="76"/>
      <c r="L16" s="76"/>
      <c r="M16" s="163"/>
      <c r="N16" s="297"/>
      <c r="O16" s="83">
        <f>IF(Eingabe!$Q$45="ja", M16-P16+T16,Overview!$AA$15)</f>
        <v>0</v>
      </c>
      <c r="P16" s="84"/>
      <c r="Q16" s="85"/>
      <c r="R16" s="86"/>
      <c r="S16" s="87"/>
      <c r="T16" s="82"/>
      <c r="U16" s="85"/>
      <c r="V16" s="286" t="str">
        <f t="shared" si="1"/>
        <v>c.2.9</v>
      </c>
      <c r="W16" s="48"/>
    </row>
    <row r="17" spans="2:24" ht="26.5" thickBot="1" x14ac:dyDescent="0.4">
      <c r="B17" s="45"/>
      <c r="C17" s="263" t="str">
        <f t="shared" si="0"/>
        <v>c.2.10</v>
      </c>
      <c r="D17" s="64"/>
      <c r="E17" s="64"/>
      <c r="F17" s="64"/>
      <c r="G17" s="412"/>
      <c r="H17" s="65" t="s">
        <v>96</v>
      </c>
      <c r="I17" s="319"/>
      <c r="J17" s="350"/>
      <c r="K17" s="65"/>
      <c r="L17" s="65"/>
      <c r="M17" s="67"/>
      <c r="N17" s="299"/>
      <c r="O17" s="83">
        <f>IF(Eingabe!$Q$45="ja", M17-P17+T17,Overview!$AA$15)</f>
        <v>0</v>
      </c>
      <c r="P17" s="290"/>
      <c r="Q17" s="291"/>
      <c r="R17" s="292"/>
      <c r="S17" s="293"/>
      <c r="T17" s="294"/>
      <c r="U17" s="291"/>
      <c r="V17" s="295" t="str">
        <f>C17</f>
        <v>c.2.10</v>
      </c>
      <c r="W17" s="48"/>
    </row>
    <row r="18" spans="2:24" ht="14.5" x14ac:dyDescent="0.35">
      <c r="B18" s="45"/>
      <c r="C18" s="166"/>
      <c r="D18" s="166"/>
      <c r="E18" s="166"/>
      <c r="F18" s="166"/>
      <c r="G18" s="166"/>
      <c r="H18" s="54"/>
      <c r="I18" s="54"/>
      <c r="J18" s="54"/>
      <c r="K18" s="54"/>
      <c r="L18" s="262">
        <f>SUMIF(Tabelle76107[Beleg vorgelegt (j/n)],"j",Tabelle76107[Betrag (bei aliquotierten Beträgen als Formel)])</f>
        <v>0</v>
      </c>
      <c r="M18" s="62"/>
      <c r="N18" s="277">
        <f>SUMIF(Tabelle76107[Beleg geprüft
(j)],"j",Tabelle76107[anerkannter Betrag nach Prüfung der Endabrechnung])</f>
        <v>0</v>
      </c>
      <c r="O18" s="51"/>
      <c r="P18" s="51"/>
      <c r="Q18" s="52"/>
      <c r="R18" s="52"/>
      <c r="S18" s="52"/>
      <c r="T18" s="52"/>
      <c r="U18" s="52"/>
      <c r="V18" s="52"/>
      <c r="W18" s="48"/>
      <c r="X18" s="53"/>
    </row>
    <row r="19" spans="2:24" ht="14.15" customHeight="1" x14ac:dyDescent="0.35">
      <c r="B19" s="45"/>
      <c r="C19" s="166"/>
      <c r="D19" s="166"/>
      <c r="E19" s="166"/>
      <c r="F19" s="166"/>
      <c r="G19" s="166"/>
      <c r="H19" s="166"/>
      <c r="I19" s="158"/>
      <c r="J19" s="158"/>
      <c r="K19" s="158"/>
      <c r="L19" s="158"/>
      <c r="M19" s="156"/>
      <c r="N19" s="155"/>
      <c r="O19" s="156"/>
      <c r="P19" s="156"/>
      <c r="Q19" s="157"/>
      <c r="R19" s="52"/>
      <c r="S19" s="52"/>
      <c r="T19" s="52"/>
      <c r="U19" s="52"/>
      <c r="V19" s="52"/>
      <c r="W19" s="48"/>
      <c r="X19" s="53"/>
    </row>
    <row r="20" spans="2:24" ht="14.15" customHeight="1" x14ac:dyDescent="0.35">
      <c r="B20" s="45"/>
      <c r="C20" s="166"/>
      <c r="D20" s="166"/>
      <c r="E20" s="166"/>
      <c r="F20" s="166"/>
      <c r="G20" s="166"/>
      <c r="H20" s="166"/>
      <c r="I20" s="159"/>
      <c r="J20" s="159" t="s">
        <v>140</v>
      </c>
      <c r="K20" s="159" t="s">
        <v>142</v>
      </c>
      <c r="L20" s="159" t="s">
        <v>141</v>
      </c>
      <c r="M20" s="159" t="s">
        <v>143</v>
      </c>
      <c r="N20" s="159" t="s">
        <v>144</v>
      </c>
      <c r="O20" s="159" t="s">
        <v>162</v>
      </c>
      <c r="P20" s="159" t="s">
        <v>163</v>
      </c>
      <c r="Q20" s="166"/>
      <c r="R20" s="166"/>
      <c r="S20" s="166"/>
      <c r="T20" s="166"/>
      <c r="U20" s="166"/>
      <c r="V20" s="166"/>
      <c r="W20" s="48"/>
    </row>
    <row r="21" spans="2:24" ht="14.15" customHeight="1" x14ac:dyDescent="0.35">
      <c r="B21" s="45"/>
      <c r="C21" s="166"/>
      <c r="D21" s="166"/>
      <c r="E21" s="166"/>
      <c r="F21" s="166"/>
      <c r="G21" s="166"/>
      <c r="H21" s="166"/>
      <c r="I21" s="160" t="str">
        <f>Eingabe!H$18&amp;": "&amp;Eingabe!H$19</f>
        <v>Maßnahme 1: Titel</v>
      </c>
      <c r="J21" s="151">
        <f>ROUND(SUMIFS(Tabelle76107[Betrag (bei aliquotierten Beträgen als Formel)],Tabelle76107[Abrechnungs-zeitraum],"A", Tabelle76107[Maß-nahme], 1),2)</f>
        <v>0</v>
      </c>
      <c r="K21" s="151">
        <f>ROUND(SUMIFS(Tabelle76107[Betrag (bei aliquotierten Beträgen als Formel)],Tabelle76107[Abrechnungs-zeitraum],"B", Tabelle76107[Maß-nahme], 1),2)</f>
        <v>0</v>
      </c>
      <c r="L21" s="151">
        <f>ROUND(SUMIFS(Tabelle76107[Betrag (bei aliquotierten Beträgen als Formel)],Tabelle76107[Abrechnungs-zeitraum],"C", Tabelle76107[Maß-nahme], 1),2)</f>
        <v>0</v>
      </c>
      <c r="M21" s="151">
        <f>ROUND(SUMIFS(Tabelle76107[Betrag (bei aliquotierten Beträgen als Formel)],Tabelle76107[Abrechnungs-zeitraum],"D", Tabelle76107[Maß-nahme], 1),2)</f>
        <v>0</v>
      </c>
      <c r="N21" s="306">
        <f>ROUND(SUMIF(Tabelle76107[Maß-nahme],"1",Tabelle76107[Betrag (bei aliquotierten Beträgen als Formel)]),2)</f>
        <v>0</v>
      </c>
      <c r="O21" s="305">
        <f>IF(Eingabe!$Q$45="ja",ROUND(SUMIF(Tabelle76107[Maß-nahme],"1",Tabelle76107[anerkannter Betrag nach Prüfung der Endabrechnung]),2),Overview!$AA$15)</f>
        <v>0</v>
      </c>
      <c r="P21" s="305">
        <f>IF(Eingabe!$Q$45="ja", SUMIF(Tabelle76107[Maß-nahme],"1",Tabelle76107[aberkannter Betrag nach Prüfung der Endabrechnung])-SUMIF(Tabelle76107[Maß-nahme],"1",Tabelle76107[Betrag der Änderung der Aberkennung 
(+ entspricht Zuerkennung)]),Overview!$AA$15)</f>
        <v>0</v>
      </c>
      <c r="Q21" s="166"/>
      <c r="R21" s="166"/>
      <c r="S21" s="166"/>
      <c r="T21" s="166"/>
      <c r="U21" s="166"/>
      <c r="V21" s="166"/>
      <c r="W21" s="48"/>
    </row>
    <row r="22" spans="2:24" ht="14.15" customHeight="1" x14ac:dyDescent="0.35">
      <c r="B22" s="45"/>
      <c r="C22" s="166"/>
      <c r="D22" s="166"/>
      <c r="E22" s="166"/>
      <c r="F22" s="166"/>
      <c r="G22" s="166"/>
      <c r="H22" s="166"/>
      <c r="I22" s="160" t="str">
        <f>Eingabe!I$18&amp;": "&amp;Eingabe!I$19</f>
        <v>Maßnahme 2: keine</v>
      </c>
      <c r="J22" s="151">
        <f>ROUND(SUMIFS(Tabelle76107[Betrag (bei aliquotierten Beträgen als Formel)],Tabelle76107[Abrechnungs-zeitraum],"A", Tabelle76107[Maß-nahme], 2),2)</f>
        <v>0</v>
      </c>
      <c r="K22" s="151">
        <f>ROUND(SUMIFS(Tabelle76107[Betrag (bei aliquotierten Beträgen als Formel)],Tabelle76107[Abrechnungs-zeitraum],"B", Tabelle76107[Maß-nahme], 2),2)</f>
        <v>0</v>
      </c>
      <c r="L22" s="151">
        <f>ROUND(SUMIFS(Tabelle76107[Betrag (bei aliquotierten Beträgen als Formel)],Tabelle76107[Abrechnungs-zeitraum],"C", Tabelle76107[Maß-nahme], 2),2)</f>
        <v>0</v>
      </c>
      <c r="M22" s="151">
        <f>ROUND(SUMIFS(Tabelle76107[Betrag (bei aliquotierten Beträgen als Formel)],Tabelle76107[Abrechnungs-zeitraum],"D", Tabelle76107[Maß-nahme], 2),2)</f>
        <v>0</v>
      </c>
      <c r="N22" s="306">
        <f>ROUND(SUMIF(Tabelle76107[Maß-nahme],"2",Tabelle76107[Betrag (bei aliquotierten Beträgen als Formel)]),2)</f>
        <v>0</v>
      </c>
      <c r="O22" s="305">
        <f>IF(Eingabe!$Q$45="ja",ROUND(SUMIF(Tabelle76107[Maß-nahme],"2",Tabelle76107[anerkannter Betrag nach Prüfung der Endabrechnung]),2),Overview!$AA$15)</f>
        <v>0</v>
      </c>
      <c r="P22" s="305">
        <f>IF(Eingabe!$Q$45="ja", SUMIF(Tabelle76107[Maß-nahme],"2",Tabelle76107[aberkannter Betrag nach Prüfung der Endabrechnung])-SUMIF(Tabelle76107[Maß-nahme],"2",Tabelle76107[Betrag der Änderung der Aberkennung 
(+ entspricht Zuerkennung)]),Overview!$AA$15)</f>
        <v>0</v>
      </c>
      <c r="Q22" s="166"/>
      <c r="R22" s="166"/>
      <c r="S22" s="166"/>
      <c r="T22" s="166"/>
      <c r="U22" s="166"/>
      <c r="V22" s="166"/>
      <c r="W22" s="48"/>
    </row>
    <row r="23" spans="2:24" ht="14.15" customHeight="1" x14ac:dyDescent="0.35">
      <c r="B23" s="45"/>
      <c r="C23" s="166"/>
      <c r="D23" s="166"/>
      <c r="E23" s="166"/>
      <c r="F23" s="166"/>
      <c r="G23" s="166"/>
      <c r="H23" s="166"/>
      <c r="I23" s="160" t="str">
        <f>Eingabe!J$18&amp;": "&amp;Eingabe!J$19</f>
        <v>Maßnahme 3: keine</v>
      </c>
      <c r="J23" s="151">
        <f>ROUND(SUMIFS(Tabelle76107[Betrag (bei aliquotierten Beträgen als Formel)],Tabelle76107[Abrechnungs-zeitraum],"A", Tabelle76107[Maß-nahme], 3),2)</f>
        <v>0</v>
      </c>
      <c r="K23" s="151">
        <f>ROUND(SUMIFS(Tabelle76107[Betrag (bei aliquotierten Beträgen als Formel)],Tabelle76107[Abrechnungs-zeitraum],"B", Tabelle76107[Maß-nahme], 3),2)</f>
        <v>0</v>
      </c>
      <c r="L23" s="151">
        <f>ROUND(SUMIFS(Tabelle76107[Betrag (bei aliquotierten Beträgen als Formel)],Tabelle76107[Abrechnungs-zeitraum],"C", Tabelle76107[Maß-nahme], 3),2)</f>
        <v>0</v>
      </c>
      <c r="M23" s="151">
        <f>ROUND(SUMIFS(Tabelle76107[Betrag (bei aliquotierten Beträgen als Formel)],Tabelle76107[Abrechnungs-zeitraum],"D", Tabelle76107[Maß-nahme], 3),2)</f>
        <v>0</v>
      </c>
      <c r="N23" s="306">
        <f>ROUND(SUMIF(Tabelle76107[Maß-nahme],"3",Tabelle76107[Betrag (bei aliquotierten Beträgen als Formel)]),2)</f>
        <v>0</v>
      </c>
      <c r="O23" s="305">
        <f>IF(Eingabe!$Q$45="ja",ROUND(SUMIF(Tabelle76107[Maß-nahme],"3",Tabelle76107[anerkannter Betrag nach Prüfung der Endabrechnung]),2),Overview!$AA$15)</f>
        <v>0</v>
      </c>
      <c r="P23" s="305">
        <f>IF(Eingabe!$Q$45="ja", SUMIF(Tabelle76107[Maß-nahme],"3",Tabelle76107[aberkannter Betrag nach Prüfung der Endabrechnung])-SUMIF(Tabelle76107[Maß-nahme],"3",Tabelle76107[Betrag der Änderung der Aberkennung 
(+ entspricht Zuerkennung)]),Overview!$AA$15)</f>
        <v>0</v>
      </c>
      <c r="Q23" s="166"/>
      <c r="R23" s="166"/>
      <c r="S23" s="166"/>
      <c r="T23" s="166"/>
      <c r="U23" s="166"/>
      <c r="V23" s="166"/>
      <c r="W23" s="48"/>
    </row>
    <row r="24" spans="2:24" ht="14.15" customHeight="1" x14ac:dyDescent="0.35">
      <c r="B24" s="45"/>
      <c r="C24" s="166"/>
      <c r="D24" s="166"/>
      <c r="E24" s="166"/>
      <c r="F24" s="166"/>
      <c r="G24" s="166"/>
      <c r="H24" s="166"/>
      <c r="I24" s="160" t="str">
        <f>Eingabe!K$18&amp;": "&amp;Eingabe!K$19</f>
        <v>Maßnahme 4: keine</v>
      </c>
      <c r="J24" s="151">
        <f>ROUND(SUMIFS(Tabelle76107[Betrag (bei aliquotierten Beträgen als Formel)],Tabelle76107[Abrechnungs-zeitraum],"A", Tabelle76107[Maß-nahme], 4),2)</f>
        <v>0</v>
      </c>
      <c r="K24" s="151">
        <f>ROUND(SUMIFS(Tabelle76107[Betrag (bei aliquotierten Beträgen als Formel)],Tabelle76107[Abrechnungs-zeitraum],"B", Tabelle76107[Maß-nahme], 4),2)</f>
        <v>0</v>
      </c>
      <c r="L24" s="151">
        <f>ROUND(SUMIFS(Tabelle76107[Betrag (bei aliquotierten Beträgen als Formel)],Tabelle76107[Abrechnungs-zeitraum],"C", Tabelle76107[Maß-nahme], 4),2)</f>
        <v>0</v>
      </c>
      <c r="M24" s="151">
        <f>ROUND(SUMIFS(Tabelle76107[Betrag (bei aliquotierten Beträgen als Formel)],Tabelle76107[Abrechnungs-zeitraum],"D", Tabelle76107[Maß-nahme], 4),2)</f>
        <v>0</v>
      </c>
      <c r="N24" s="306">
        <f>ROUND(SUMIF(Tabelle76107[Maß-nahme],"4",Tabelle76107[Betrag (bei aliquotierten Beträgen als Formel)]),2)</f>
        <v>0</v>
      </c>
      <c r="O24" s="305">
        <f>IF(Eingabe!$Q$45="ja", ROUND(SUMIF(Tabelle76107[Maß-nahme],"4",Tabelle76107[anerkannter Betrag nach Prüfung der Endabrechnung]),2),Overview!$AA$15)</f>
        <v>0</v>
      </c>
      <c r="P24" s="305">
        <f>IF(Eingabe!$Q$45="ja", SUMIF(Tabelle76107[Maß-nahme],"4",Tabelle76107[aberkannter Betrag nach Prüfung der Endabrechnung])-SUMIF(Tabelle76107[Maß-nahme],"4",Tabelle76107[Betrag der Änderung der Aberkennung 
(+ entspricht Zuerkennung)]),Overview!$AA$15)</f>
        <v>0</v>
      </c>
      <c r="Q24" s="166"/>
      <c r="R24" s="166"/>
      <c r="S24" s="166"/>
      <c r="T24" s="166"/>
      <c r="U24" s="166"/>
      <c r="V24" s="166"/>
      <c r="W24" s="48"/>
    </row>
    <row r="25" spans="2:24" ht="14.15" customHeight="1" x14ac:dyDescent="0.35">
      <c r="B25" s="45"/>
      <c r="C25" s="166"/>
      <c r="D25" s="166"/>
      <c r="E25" s="166"/>
      <c r="F25" s="166"/>
      <c r="G25" s="166"/>
      <c r="H25" s="166"/>
      <c r="I25" s="160" t="str">
        <f>Eingabe!L$18&amp;": "&amp;Eingabe!L$19</f>
        <v>Maßnahme 5: keine</v>
      </c>
      <c r="J25" s="151">
        <f>ROUND(SUMIFS(Tabelle76107[Betrag (bei aliquotierten Beträgen als Formel)],Tabelle76107[Abrechnungs-zeitraum],"A", Tabelle76107[Maß-nahme], 5),2)</f>
        <v>0</v>
      </c>
      <c r="K25" s="151">
        <f>ROUND(SUMIFS(Tabelle76107[Betrag (bei aliquotierten Beträgen als Formel)],Tabelle76107[Abrechnungs-zeitraum],"B", Tabelle76107[Maß-nahme], 5),2)</f>
        <v>0</v>
      </c>
      <c r="L25" s="151">
        <f>ROUND(SUMIFS(Tabelle76107[Betrag (bei aliquotierten Beträgen als Formel)],Tabelle76107[Abrechnungs-zeitraum],"C", Tabelle76107[Maß-nahme], 5),2)</f>
        <v>0</v>
      </c>
      <c r="M25" s="151">
        <f>ROUND(SUMIFS(Tabelle76107[Betrag (bei aliquotierten Beträgen als Formel)],Tabelle76107[Abrechnungs-zeitraum],"D", Tabelle76107[Maß-nahme], 5),2)</f>
        <v>0</v>
      </c>
      <c r="N25" s="306">
        <f>ROUND(SUMIF(Tabelle76107[Maß-nahme],"5",Tabelle76107[Betrag (bei aliquotierten Beträgen als Formel)]),2)</f>
        <v>0</v>
      </c>
      <c r="O25" s="305">
        <f>IF(Eingabe!$Q$45="ja", ROUND(SUMIF(Tabelle76107[Maß-nahme],"5",Tabelle76107[anerkannter Betrag nach Prüfung der Endabrechnung]),2),Overview!$AA$15)</f>
        <v>0</v>
      </c>
      <c r="P25" s="305">
        <f>IF(Eingabe!$Q$45="ja", SUMIF(Tabelle76107[Maß-nahme],"5",Tabelle76107[aberkannter Betrag nach Prüfung der Endabrechnung])-SUMIF(Tabelle76107[Maß-nahme],"5",Tabelle76107[Betrag der Änderung der Aberkennung 
(+ entspricht Zuerkennung)]),Overview!$AA$15)</f>
        <v>0</v>
      </c>
      <c r="Q25" s="166"/>
      <c r="R25" s="166"/>
      <c r="S25" s="166"/>
      <c r="T25" s="166"/>
      <c r="U25" s="166"/>
      <c r="V25" s="166"/>
      <c r="W25" s="48"/>
    </row>
    <row r="26" spans="2:24" ht="14.15" customHeight="1" x14ac:dyDescent="0.35">
      <c r="B26" s="45"/>
      <c r="C26" s="166"/>
      <c r="D26" s="166"/>
      <c r="E26" s="166"/>
      <c r="F26" s="166"/>
      <c r="G26" s="166"/>
      <c r="H26" s="166"/>
      <c r="I26" s="160" t="str">
        <f>Eingabe!M$18&amp;": "&amp;Eingabe!M$19</f>
        <v>Maßnahme 6: keine</v>
      </c>
      <c r="J26" s="151">
        <f>ROUND(SUMIFS(Tabelle76107[Betrag (bei aliquotierten Beträgen als Formel)],Tabelle76107[Abrechnungs-zeitraum],"A", Tabelle76107[Maß-nahme], 6),2)</f>
        <v>0</v>
      </c>
      <c r="K26" s="151">
        <f>ROUND(SUMIFS(Tabelle76107[Betrag (bei aliquotierten Beträgen als Formel)],Tabelle76107[Abrechnungs-zeitraum],"B", Tabelle76107[Maß-nahme], 6),2)</f>
        <v>0</v>
      </c>
      <c r="L26" s="151">
        <f>ROUND(SUMIFS(Tabelle76107[Betrag (bei aliquotierten Beträgen als Formel)],Tabelle76107[Abrechnungs-zeitraum],"C", Tabelle76107[Maß-nahme], 6),2)</f>
        <v>0</v>
      </c>
      <c r="M26" s="151">
        <f>ROUND(SUMIFS(Tabelle76107[Betrag (bei aliquotierten Beträgen als Formel)],Tabelle76107[Abrechnungs-zeitraum],"D", Tabelle76107[Maß-nahme], 6),2)</f>
        <v>0</v>
      </c>
      <c r="N26" s="306">
        <f>ROUND(SUMIF(Tabelle76107[Maß-nahme],"6",Tabelle76107[Betrag (bei aliquotierten Beträgen als Formel)]),2)</f>
        <v>0</v>
      </c>
      <c r="O26" s="305">
        <f>IF(Eingabe!$Q$45="ja", ROUND(SUMIF(Tabelle76107[Maß-nahme],"6",Tabelle76107[anerkannter Betrag nach Prüfung der Endabrechnung]),2),Overview!$AA$15)</f>
        <v>0</v>
      </c>
      <c r="P26" s="305">
        <f>IF(Eingabe!$Q$45="ja", SUMIF(Tabelle76107[Maß-nahme],"6",Tabelle76107[aberkannter Betrag nach Prüfung der Endabrechnung])-SUMIF(Tabelle76107[Maß-nahme],"6",Tabelle76107[Betrag der Änderung der Aberkennung 
(+ entspricht Zuerkennung)]),Overview!$AA$15)</f>
        <v>0</v>
      </c>
      <c r="Q26" s="166"/>
      <c r="R26" s="166"/>
      <c r="S26" s="166"/>
      <c r="T26" s="166"/>
      <c r="U26" s="166"/>
      <c r="V26" s="166"/>
      <c r="W26" s="48"/>
    </row>
    <row r="27" spans="2:24" ht="14.15" customHeight="1" x14ac:dyDescent="0.35">
      <c r="B27" s="45"/>
      <c r="C27" s="166"/>
      <c r="D27" s="166"/>
      <c r="E27" s="166"/>
      <c r="F27" s="166"/>
      <c r="G27" s="166"/>
      <c r="H27" s="166"/>
      <c r="I27" s="160" t="str">
        <f>Eingabe!N$18&amp;": "&amp;Eingabe!N$19</f>
        <v>Maßnahme 7: keine</v>
      </c>
      <c r="J27" s="151">
        <f>ROUND(SUMIFS(Tabelle76107[Betrag (bei aliquotierten Beträgen als Formel)],Tabelle76107[Abrechnungs-zeitraum],"A", Tabelle76107[Maß-nahme], 7),2)</f>
        <v>0</v>
      </c>
      <c r="K27" s="151">
        <f>ROUND(SUMIFS(Tabelle76107[Betrag (bei aliquotierten Beträgen als Formel)],Tabelle76107[Abrechnungs-zeitraum],"B", Tabelle76107[Maß-nahme], 7),2)</f>
        <v>0</v>
      </c>
      <c r="L27" s="151">
        <f>ROUND(SUMIFS(Tabelle76107[Betrag (bei aliquotierten Beträgen als Formel)],Tabelle76107[Abrechnungs-zeitraum],"C", Tabelle76107[Maß-nahme], 7),2)</f>
        <v>0</v>
      </c>
      <c r="M27" s="151">
        <f>ROUND(SUMIFS(Tabelle76107[Betrag (bei aliquotierten Beträgen als Formel)],Tabelle76107[Abrechnungs-zeitraum],"D", Tabelle76107[Maß-nahme], 7),2)</f>
        <v>0</v>
      </c>
      <c r="N27" s="306">
        <f>ROUND(SUMIF(Tabelle76107[Maß-nahme],"7",Tabelle76107[Betrag (bei aliquotierten Beträgen als Formel)]),2)</f>
        <v>0</v>
      </c>
      <c r="O27" s="305">
        <f>IF(Eingabe!$Q$45="ja", ROUND(SUMIF(Tabelle76107[Maß-nahme],"7",Tabelle76107[anerkannter Betrag nach Prüfung der Endabrechnung]),2),Overview!$AA$15)</f>
        <v>0</v>
      </c>
      <c r="P27" s="305">
        <f>IF(Eingabe!$Q$45="ja", SUMIF(Tabelle76107[Maß-nahme],"7",Tabelle76107[aberkannter Betrag nach Prüfung der Endabrechnung])-SUMIF(Tabelle76107[Maß-nahme],"7",Tabelle76107[Betrag der Änderung der Aberkennung 
(+ entspricht Zuerkennung)]),Overview!$AA$15)</f>
        <v>0</v>
      </c>
      <c r="Q27" s="166"/>
      <c r="R27" s="166"/>
      <c r="S27" s="166"/>
      <c r="T27" s="166"/>
      <c r="U27" s="166"/>
      <c r="V27" s="166"/>
      <c r="W27" s="48"/>
    </row>
    <row r="28" spans="2:24" ht="14.15" customHeight="1" x14ac:dyDescent="0.35">
      <c r="B28" s="45"/>
      <c r="C28" s="166"/>
      <c r="D28" s="166"/>
      <c r="E28" s="166"/>
      <c r="F28" s="166"/>
      <c r="G28" s="166"/>
      <c r="H28" s="166"/>
      <c r="I28" s="160" t="str">
        <f>Eingabe!O$18&amp;": "&amp;Eingabe!O$19</f>
        <v>Maßnahme 8: keine</v>
      </c>
      <c r="J28" s="151">
        <f>ROUND(SUMIFS(Tabelle76107[Betrag (bei aliquotierten Beträgen als Formel)],Tabelle76107[Abrechnungs-zeitraum],"A", Tabelle76107[Maß-nahme], 8),2)</f>
        <v>0</v>
      </c>
      <c r="K28" s="151">
        <f>ROUND(SUMIFS(Tabelle76107[Betrag (bei aliquotierten Beträgen als Formel)],Tabelle76107[Abrechnungs-zeitraum],"B", Tabelle76107[Maß-nahme], 8),2)</f>
        <v>0</v>
      </c>
      <c r="L28" s="151">
        <f>ROUND(SUMIFS(Tabelle76107[Betrag (bei aliquotierten Beträgen als Formel)],Tabelle76107[Abrechnungs-zeitraum],"C", Tabelle76107[Maß-nahme], 8),2)</f>
        <v>0</v>
      </c>
      <c r="M28" s="151">
        <f>ROUND(SUMIFS(Tabelle76107[Betrag (bei aliquotierten Beträgen als Formel)],Tabelle76107[Abrechnungs-zeitraum],"D", Tabelle76107[Maß-nahme], 8),2)</f>
        <v>0</v>
      </c>
      <c r="N28" s="306">
        <f>ROUND(SUMIF(Tabelle76107[Maß-nahme],"8",Tabelle76107[Betrag (bei aliquotierten Beträgen als Formel)]),2)</f>
        <v>0</v>
      </c>
      <c r="O28" s="305">
        <f>IF(Eingabe!$Q$45="ja", ROUND(SUMIF(Tabelle76107[Maß-nahme],"8",Tabelle76107[anerkannter Betrag nach Prüfung der Endabrechnung]),2),Overview!$AA$15)</f>
        <v>0</v>
      </c>
      <c r="P28" s="305">
        <f>IF(Eingabe!$Q$45="ja", SUMIF(Tabelle76107[Maß-nahme],"8",Tabelle76107[aberkannter Betrag nach Prüfung der Endabrechnung])-SUMIF(Tabelle76107[Maß-nahme],"8",Tabelle76107[Betrag der Änderung der Aberkennung 
(+ entspricht Zuerkennung)]),Overview!$AA$15)</f>
        <v>0</v>
      </c>
      <c r="Q28" s="166"/>
      <c r="R28" s="166"/>
      <c r="S28" s="166"/>
      <c r="T28" s="166"/>
      <c r="U28" s="166"/>
      <c r="V28" s="166"/>
      <c r="W28" s="48"/>
    </row>
    <row r="29" spans="2:24" ht="14.15" customHeight="1" x14ac:dyDescent="0.35">
      <c r="B29" s="45"/>
      <c r="C29" s="166"/>
      <c r="D29" s="166"/>
      <c r="E29" s="166"/>
      <c r="F29" s="166"/>
      <c r="G29" s="166"/>
      <c r="H29" s="166"/>
      <c r="I29" s="160" t="str">
        <f>Eingabe!P$18&amp;": "&amp;Eingabe!P$19</f>
        <v>Maßnahme 9: keine</v>
      </c>
      <c r="J29" s="151">
        <f>ROUND(SUMIFS(Tabelle76107[Betrag (bei aliquotierten Beträgen als Formel)],Tabelle76107[Abrechnungs-zeitraum],"A", Tabelle76107[Maß-nahme], 9),2)</f>
        <v>0</v>
      </c>
      <c r="K29" s="151">
        <f>ROUND(SUMIFS(Tabelle76107[Betrag (bei aliquotierten Beträgen als Formel)],Tabelle76107[Abrechnungs-zeitraum],"B", Tabelle76107[Maß-nahme], 9),2)</f>
        <v>0</v>
      </c>
      <c r="L29" s="151">
        <f>ROUND(SUMIFS(Tabelle76107[Betrag (bei aliquotierten Beträgen als Formel)],Tabelle76107[Abrechnungs-zeitraum],"C", Tabelle76107[Maß-nahme], 9),2)</f>
        <v>0</v>
      </c>
      <c r="M29" s="151">
        <f>ROUND(SUMIFS(Tabelle76107[Betrag (bei aliquotierten Beträgen als Formel)],Tabelle76107[Abrechnungs-zeitraum],"D", Tabelle76107[Maß-nahme], 9),2)</f>
        <v>0</v>
      </c>
      <c r="N29" s="306">
        <f>ROUND(SUMIF(Tabelle76107[Maß-nahme],"9",Tabelle76107[Betrag (bei aliquotierten Beträgen als Formel)]),2)</f>
        <v>0</v>
      </c>
      <c r="O29" s="305">
        <f>IF(Eingabe!$Q$45="ja", ROUND(SUMIF(Tabelle76107[Maß-nahme],"9",Tabelle76107[anerkannter Betrag nach Prüfung der Endabrechnung]),2),Overview!$AA$15)</f>
        <v>0</v>
      </c>
      <c r="P29" s="305">
        <f>IF(Eingabe!$Q$45="ja", SUMIF(Tabelle76107[Maß-nahme],"9",Tabelle76107[aberkannter Betrag nach Prüfung der Endabrechnung])-SUMIF(Tabelle76107[Maß-nahme],"9",Tabelle76107[Betrag der Änderung der Aberkennung 
(+ entspricht Zuerkennung)]),Overview!$AA$15)</f>
        <v>0</v>
      </c>
      <c r="Q29" s="166"/>
      <c r="R29" s="166"/>
      <c r="S29" s="166"/>
      <c r="T29" s="166"/>
      <c r="U29" s="166"/>
      <c r="V29" s="166"/>
      <c r="W29" s="48"/>
    </row>
    <row r="30" spans="2:24" ht="14.15" customHeight="1" x14ac:dyDescent="0.35">
      <c r="B30" s="45"/>
      <c r="C30" s="166"/>
      <c r="D30" s="166"/>
      <c r="E30" s="166"/>
      <c r="F30" s="166"/>
      <c r="G30" s="166"/>
      <c r="H30" s="166"/>
      <c r="I30" s="160" t="str">
        <f>Eingabe!Q$18&amp;": "&amp;Eingabe!Q$19</f>
        <v>Maßnahme 10: keine</v>
      </c>
      <c r="J30" s="151">
        <f>ROUND(SUMIFS(Tabelle76107[Betrag (bei aliquotierten Beträgen als Formel)],Tabelle76107[Abrechnungs-zeitraum],"A", Tabelle76107[Maß-nahme], 10),2)</f>
        <v>0</v>
      </c>
      <c r="K30" s="151">
        <f>ROUND(SUMIFS(Tabelle76107[Betrag (bei aliquotierten Beträgen als Formel)],Tabelle76107[Abrechnungs-zeitraum],"B", Tabelle76107[Maß-nahme], 10),2)</f>
        <v>0</v>
      </c>
      <c r="L30" s="151">
        <f>ROUND(SUMIFS(Tabelle76107[Betrag (bei aliquotierten Beträgen als Formel)],Tabelle76107[Abrechnungs-zeitraum],"C", Tabelle76107[Maß-nahme], 10),2)</f>
        <v>0</v>
      </c>
      <c r="M30" s="151">
        <f>ROUND(SUMIFS(Tabelle76107[Betrag (bei aliquotierten Beträgen als Formel)],Tabelle76107[Abrechnungs-zeitraum],"D", Tabelle76107[Maß-nahme], 10),2)</f>
        <v>0</v>
      </c>
      <c r="N30" s="306">
        <f>ROUND(SUMIF(Tabelle76107[Maß-nahme],"10",Tabelle76107[Betrag (bei aliquotierten Beträgen als Formel)]),2)</f>
        <v>0</v>
      </c>
      <c r="O30" s="305">
        <f>IF(Eingabe!$Q$45="ja", ROUND(SUMIF(Tabelle76107[Maß-nahme],"10",Tabelle76107[anerkannter Betrag nach Prüfung der Endabrechnung]),2),Overview!$AA$15)</f>
        <v>0</v>
      </c>
      <c r="P30" s="305">
        <f>IF(Eingabe!$Q$45="ja", SUMIF(Tabelle76107[Maß-nahme],"10",Tabelle76107[aberkannter Betrag nach Prüfung der Endabrechnung])-SUMIF(Tabelle76107[Maß-nahme],"10",Tabelle76107[Betrag der Änderung der Aberkennung 
(+ entspricht Zuerkennung)]),Overview!$AA$15)</f>
        <v>0</v>
      </c>
      <c r="Q30" s="166"/>
      <c r="R30" s="166"/>
      <c r="S30" s="166"/>
      <c r="T30" s="166"/>
      <c r="U30" s="166"/>
      <c r="V30" s="166"/>
      <c r="W30" s="48"/>
    </row>
    <row r="31" spans="2:24" ht="14.15" customHeight="1" x14ac:dyDescent="0.35">
      <c r="B31" s="45"/>
      <c r="C31" s="166"/>
      <c r="D31" s="166"/>
      <c r="E31" s="166"/>
      <c r="F31" s="166"/>
      <c r="G31" s="166"/>
      <c r="H31" s="166"/>
      <c r="I31" s="307" t="s">
        <v>145</v>
      </c>
      <c r="J31" s="306">
        <f>ROUND(SUMIF(Tabelle76107[Abrechnungs-zeitraum],"A",Tabelle76107[Betrag (bei aliquotierten Beträgen als Formel)]),2)</f>
        <v>0</v>
      </c>
      <c r="K31" s="306">
        <f>ROUND(SUMIF(Tabelle76107[Abrechnungs-zeitraum],"B",Tabelle76107[Betrag (bei aliquotierten Beträgen als Formel)]),2)</f>
        <v>0</v>
      </c>
      <c r="L31" s="306">
        <f>ROUND(SUMIF(Tabelle76107[Abrechnungs-zeitraum],"C",Tabelle76107[Betrag (bei aliquotierten Beträgen als Formel)]),2)</f>
        <v>0</v>
      </c>
      <c r="M31" s="306">
        <f>ROUND(SUMIF(Tabelle76107[Abrechnungs-zeitraum],"D",Tabelle76107[Betrag (bei aliquotierten Beträgen als Formel)]),2)</f>
        <v>0</v>
      </c>
      <c r="N31" s="306">
        <f>SUM(N21:N30)</f>
        <v>0</v>
      </c>
      <c r="O31" s="306">
        <f>IF(Eingabe!$Q$45="ja", SUM(Tabelle76107[anerkannter Betrag nach Prüfung der Endabrechnung]),Overview!$AA$15)</f>
        <v>0</v>
      </c>
      <c r="P31" s="306">
        <f>IF(Eingabe!$Q$45="ja", SUM(Tabelle76107[aberkannter Betrag nach Prüfung der Endabrechnung])-SUM(Tabelle76107[Betrag der Änderung der Aberkennung 
(+ entspricht Zuerkennung)]),Overview!$AA$15)</f>
        <v>0</v>
      </c>
      <c r="Q31" s="166"/>
      <c r="R31" s="166"/>
      <c r="S31" s="166"/>
      <c r="T31" s="166"/>
      <c r="U31" s="166"/>
      <c r="V31" s="166"/>
      <c r="W31" s="48"/>
    </row>
    <row r="32" spans="2:24" ht="18.75" customHeight="1" x14ac:dyDescent="0.35">
      <c r="B32" s="55"/>
      <c r="C32" s="56"/>
      <c r="D32" s="56"/>
      <c r="E32" s="56"/>
      <c r="F32" s="56"/>
      <c r="G32" s="56"/>
      <c r="H32" s="56"/>
      <c r="I32" s="56"/>
      <c r="J32" s="56"/>
      <c r="K32" s="56"/>
      <c r="L32" s="56"/>
      <c r="M32" s="56"/>
      <c r="N32" s="56"/>
      <c r="O32" s="56"/>
      <c r="P32" s="56"/>
      <c r="Q32" s="56"/>
      <c r="R32" s="56"/>
      <c r="S32" s="56"/>
      <c r="T32" s="56"/>
      <c r="U32" s="56"/>
      <c r="V32" s="56"/>
      <c r="W32" s="57"/>
    </row>
  </sheetData>
  <sheetProtection password="FFFD" sheet="1" insertRows="0"/>
  <protectedRanges>
    <protectedRange password="CDD2" sqref="N8:N17 P8:R17 T8:U17" name="Prüfung"/>
  </protectedRanges>
  <mergeCells count="10">
    <mergeCell ref="D6:J6"/>
    <mergeCell ref="K6:L6"/>
    <mergeCell ref="N6:R6"/>
    <mergeCell ref="T6:U6"/>
    <mergeCell ref="C3:H3"/>
    <mergeCell ref="N3:Q3"/>
    <mergeCell ref="R3:S3"/>
    <mergeCell ref="T3:U3"/>
    <mergeCell ref="C5:M5"/>
    <mergeCell ref="N5:V5"/>
  </mergeCells>
  <conditionalFormatting sqref="K8:L17 N8:N17">
    <cfRule type="containsText" dxfId="121" priority="7" operator="containsText" text="j">
      <formula>NOT(ISERROR(SEARCH("j",K8)))</formula>
    </cfRule>
  </conditionalFormatting>
  <conditionalFormatting sqref="R8:R17">
    <cfRule type="containsText" dxfId="120" priority="6" operator="containsText" text="j">
      <formula>NOT(ISERROR(SEARCH("j",R8)))</formula>
    </cfRule>
  </conditionalFormatting>
  <conditionalFormatting sqref="E8:E17">
    <cfRule type="expression" dxfId="119" priority="3">
      <formula>AND(NOT(E8="a"),NOT(E8="b"),NOT(E8="c"),NOT(E8="d"),NOT(M8=0))</formula>
    </cfRule>
  </conditionalFormatting>
  <conditionalFormatting sqref="F8:F17">
    <cfRule type="expression" dxfId="118" priority="2">
      <formula>AND(NOT(F8=1),NOT(F8=2),NOT(F8=3),NOT(F8=4),NOT(F8=5),NOT(F8=6),NOT(F8=7),NOT(F8=8),NOT(F8=9),NOT(F8=10),NOT(M8=0))</formula>
    </cfRule>
  </conditionalFormatting>
  <pageMargins left="0.25" right="0.25" top="0.75" bottom="0.75" header="0.3" footer="0.3"/>
  <pageSetup paperSize="9" scale="32" fitToHeight="0"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2ED9F9EE-5ED8-4F34-BD17-261378858793}">
            <xm:f>AND(Eingabe!$Q$45="ja",L8="j",NOT(N8="j"))</xm:f>
            <x14:dxf>
              <fill>
                <patternFill>
                  <bgColor theme="5" tint="0.59996337778862885"/>
                </patternFill>
              </fill>
            </x14:dxf>
          </x14:cfRule>
          <xm:sqref>N8:N17</xm:sqref>
        </x14:conditionalFormatting>
        <x14:conditionalFormatting xmlns:xm="http://schemas.microsoft.com/office/excel/2006/main">
          <x14:cfRule type="expression" priority="1" id="{8736C181-EC67-4F06-B239-5C1672B17A13}">
            <xm:f>AND(L8="j",M8&gt;=Overview!$AA$11,NOT(K8="j"))</xm:f>
            <x14:dxf>
              <fill>
                <patternFill>
                  <bgColor theme="5" tint="0.59996337778862885"/>
                </patternFill>
              </fill>
            </x14:dxf>
          </x14:cfRule>
          <xm:sqref>K8:K17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B2:AA32"/>
  <sheetViews>
    <sheetView showGridLines="0" zoomScale="85" zoomScaleNormal="85" workbookViewId="0">
      <selection activeCell="D8" sqref="D8"/>
    </sheetView>
  </sheetViews>
  <sheetFormatPr baseColWidth="10" defaultColWidth="11.453125" defaultRowHeight="13" x14ac:dyDescent="0.35"/>
  <cols>
    <col min="1" max="2" width="2.54296875" style="44" customWidth="1"/>
    <col min="3" max="3" width="8.453125" style="44" customWidth="1"/>
    <col min="4" max="4" width="10.54296875" style="44" customWidth="1"/>
    <col min="5" max="5" width="8.453125" style="44" customWidth="1"/>
    <col min="6" max="6" width="15.90625" style="44" customWidth="1"/>
    <col min="7" max="7" width="37.453125" style="44" customWidth="1"/>
    <col min="8" max="8" width="60.90625" style="44" customWidth="1"/>
    <col min="9" max="16" width="14.6328125" style="44" customWidth="1"/>
    <col min="17" max="20" width="13.6328125" style="44" customWidth="1"/>
    <col min="21" max="21" width="45.6328125" style="44" customWidth="1"/>
    <col min="22" max="22" width="10.6328125" style="44" customWidth="1"/>
    <col min="23" max="23" width="45.6328125" style="44" customWidth="1"/>
    <col min="24" max="24" width="13.6328125" style="44" customWidth="1"/>
    <col min="25" max="25" width="45.6328125" style="44" customWidth="1"/>
    <col min="26" max="26" width="10.6328125" style="44" customWidth="1"/>
    <col min="27" max="27" width="2.54296875" style="44" customWidth="1"/>
    <col min="28" max="16384" width="11.453125" style="44"/>
  </cols>
  <sheetData>
    <row r="2" spans="2:27" ht="18.75" customHeight="1" x14ac:dyDescent="0.35">
      <c r="B2" s="40"/>
      <c r="C2" s="41"/>
      <c r="D2" s="41"/>
      <c r="E2" s="41"/>
      <c r="F2" s="41"/>
      <c r="G2" s="41"/>
      <c r="H2" s="41"/>
      <c r="I2" s="41"/>
      <c r="J2" s="41"/>
      <c r="K2" s="41"/>
      <c r="L2" s="41"/>
      <c r="M2" s="41"/>
      <c r="N2" s="42"/>
      <c r="O2" s="42"/>
      <c r="P2" s="42"/>
      <c r="Q2" s="42"/>
      <c r="R2" s="42"/>
      <c r="S2" s="42"/>
      <c r="T2" s="42"/>
      <c r="U2" s="42"/>
      <c r="V2" s="42"/>
      <c r="W2" s="42"/>
      <c r="X2" s="42"/>
      <c r="Y2" s="42"/>
      <c r="Z2" s="41"/>
      <c r="AA2" s="43"/>
    </row>
    <row r="3" spans="2:27" ht="22.5" customHeight="1" x14ac:dyDescent="0.35">
      <c r="B3" s="45"/>
      <c r="C3" s="583" t="s">
        <v>16</v>
      </c>
      <c r="D3" s="583"/>
      <c r="E3" s="583"/>
      <c r="F3" s="583"/>
      <c r="G3" s="583"/>
      <c r="H3" s="167"/>
      <c r="I3" s="46"/>
      <c r="J3" s="46"/>
      <c r="K3" s="46"/>
      <c r="L3" s="46"/>
      <c r="M3" s="583"/>
      <c r="N3" s="583"/>
      <c r="O3" s="583"/>
      <c r="P3" s="583"/>
      <c r="Q3" s="591"/>
      <c r="R3" s="591"/>
      <c r="S3" s="326"/>
      <c r="T3" s="326"/>
      <c r="U3" s="326"/>
      <c r="V3" s="326"/>
      <c r="W3" s="326"/>
      <c r="X3" s="326"/>
      <c r="Y3" s="166"/>
      <c r="Z3" s="166"/>
      <c r="AA3" s="48"/>
    </row>
    <row r="4" spans="2:27" ht="21.5" thickBot="1" x14ac:dyDescent="0.4">
      <c r="B4" s="45"/>
      <c r="C4" s="166"/>
      <c r="D4" s="166"/>
      <c r="E4" s="166"/>
      <c r="F4" s="166"/>
      <c r="G4" s="166"/>
      <c r="H4" s="166"/>
      <c r="I4" s="166"/>
      <c r="J4" s="166"/>
      <c r="K4" s="166"/>
      <c r="L4" s="166"/>
      <c r="M4" s="166"/>
      <c r="N4" s="49"/>
      <c r="O4" s="49"/>
      <c r="P4" s="49"/>
      <c r="Q4" s="49"/>
      <c r="R4" s="49"/>
      <c r="S4" s="49"/>
      <c r="T4" s="269"/>
      <c r="U4" s="269"/>
      <c r="V4" s="269"/>
      <c r="W4" s="269"/>
      <c r="X4" s="166"/>
      <c r="Y4" s="166"/>
      <c r="Z4" s="166"/>
      <c r="AA4" s="48"/>
    </row>
    <row r="5" spans="2:27" ht="15.75" customHeight="1" x14ac:dyDescent="0.35">
      <c r="B5" s="45"/>
      <c r="C5" s="618" t="s">
        <v>108</v>
      </c>
      <c r="D5" s="619"/>
      <c r="E5" s="619"/>
      <c r="F5" s="619"/>
      <c r="G5" s="619"/>
      <c r="H5" s="619"/>
      <c r="I5" s="619"/>
      <c r="J5" s="619"/>
      <c r="K5" s="619"/>
      <c r="L5" s="619"/>
      <c r="M5" s="619"/>
      <c r="N5" s="619"/>
      <c r="O5" s="619"/>
      <c r="P5" s="619"/>
      <c r="Q5" s="620"/>
      <c r="R5" s="584" t="str">
        <f>C5 &amp; " - Prüfung"</f>
        <v>c.3) Anlagegüter - Prüfung</v>
      </c>
      <c r="S5" s="584"/>
      <c r="T5" s="584"/>
      <c r="U5" s="584"/>
      <c r="V5" s="584"/>
      <c r="W5" s="584"/>
      <c r="X5" s="584"/>
      <c r="Y5" s="584"/>
      <c r="Z5" s="585"/>
      <c r="AA5" s="48"/>
    </row>
    <row r="6" spans="2:27" ht="15.75" customHeight="1" thickBot="1" x14ac:dyDescent="0.4">
      <c r="B6" s="45"/>
      <c r="C6" s="354"/>
      <c r="D6" s="617" t="s">
        <v>104</v>
      </c>
      <c r="E6" s="617"/>
      <c r="F6" s="617"/>
      <c r="G6" s="617"/>
      <c r="H6" s="617"/>
      <c r="I6" s="617"/>
      <c r="J6" s="617"/>
      <c r="K6" s="616" t="s">
        <v>148</v>
      </c>
      <c r="L6" s="616"/>
      <c r="M6" s="617"/>
      <c r="N6" s="617"/>
      <c r="O6" s="617"/>
      <c r="P6" s="617"/>
      <c r="Q6" s="621"/>
      <c r="R6" s="589" t="s">
        <v>91</v>
      </c>
      <c r="S6" s="589"/>
      <c r="T6" s="589"/>
      <c r="U6" s="589"/>
      <c r="V6" s="590"/>
      <c r="W6" s="60" t="s">
        <v>90</v>
      </c>
      <c r="X6" s="593" t="s">
        <v>91</v>
      </c>
      <c r="Y6" s="594"/>
      <c r="Z6" s="66"/>
      <c r="AA6" s="48"/>
    </row>
    <row r="7" spans="2:27" ht="60" customHeight="1" x14ac:dyDescent="0.35">
      <c r="B7" s="45"/>
      <c r="C7" s="355" t="s">
        <v>9</v>
      </c>
      <c r="D7" s="165" t="s">
        <v>77</v>
      </c>
      <c r="E7" s="165" t="s">
        <v>115</v>
      </c>
      <c r="F7" s="50" t="s">
        <v>7</v>
      </c>
      <c r="G7" s="50" t="s">
        <v>102</v>
      </c>
      <c r="H7" s="50" t="s">
        <v>92</v>
      </c>
      <c r="I7" s="50" t="s">
        <v>38</v>
      </c>
      <c r="J7" s="50" t="s">
        <v>37</v>
      </c>
      <c r="K7" s="78" t="s">
        <v>62</v>
      </c>
      <c r="L7" s="78" t="s">
        <v>52</v>
      </c>
      <c r="M7" s="50" t="s">
        <v>193</v>
      </c>
      <c r="N7" s="50" t="s">
        <v>194</v>
      </c>
      <c r="O7" s="50" t="s">
        <v>195</v>
      </c>
      <c r="P7" s="50" t="s">
        <v>196</v>
      </c>
      <c r="Q7" s="330" t="s">
        <v>36</v>
      </c>
      <c r="R7" s="296" t="s">
        <v>59</v>
      </c>
      <c r="S7" s="279" t="s">
        <v>151</v>
      </c>
      <c r="T7" s="280" t="s">
        <v>152</v>
      </c>
      <c r="U7" s="281" t="s">
        <v>40</v>
      </c>
      <c r="V7" s="282" t="s">
        <v>57</v>
      </c>
      <c r="W7" s="283" t="s">
        <v>89</v>
      </c>
      <c r="X7" s="280" t="s">
        <v>54</v>
      </c>
      <c r="Y7" s="281" t="s">
        <v>48</v>
      </c>
      <c r="Z7" s="59" t="s">
        <v>95</v>
      </c>
      <c r="AA7" s="48"/>
    </row>
    <row r="8" spans="2:27" ht="15" customHeight="1" x14ac:dyDescent="0.35">
      <c r="B8" s="45"/>
      <c r="C8" s="92" t="str">
        <f>"c.3."&amp;ROW()-7</f>
        <v>c.3.1</v>
      </c>
      <c r="D8" s="93"/>
      <c r="E8" s="93"/>
      <c r="F8" s="410"/>
      <c r="G8" s="76"/>
      <c r="H8" s="76"/>
      <c r="I8" s="332"/>
      <c r="J8" s="76"/>
      <c r="K8" s="76"/>
      <c r="L8" s="76"/>
      <c r="M8" s="356"/>
      <c r="N8" s="356"/>
      <c r="O8" s="356"/>
      <c r="P8" s="356"/>
      <c r="Q8" s="380">
        <f>SUM(Tabelle7610715[[#This Row],[Betrag Abrechnungs-zeitraum "A"
1. ZWB]:[Betrag Abrechnungs-zeitraum "D"
Endbericht]])</f>
        <v>0</v>
      </c>
      <c r="R8" s="297"/>
      <c r="S8" s="83">
        <f>IF(Eingabe!$Q$45="ja", Q8-T8+X8,Overview!$AA$15)</f>
        <v>0</v>
      </c>
      <c r="T8" s="84"/>
      <c r="U8" s="85"/>
      <c r="V8" s="86"/>
      <c r="W8" s="87"/>
      <c r="X8" s="82"/>
      <c r="Y8" s="85"/>
      <c r="Z8" s="285" t="str">
        <f>C8</f>
        <v>c.3.1</v>
      </c>
      <c r="AA8" s="48"/>
    </row>
    <row r="9" spans="2:27" ht="15" customHeight="1" x14ac:dyDescent="0.35">
      <c r="B9" s="45"/>
      <c r="C9" s="92" t="str">
        <f t="shared" ref="C9:C17" si="0">"c.3."&amp;ROW()-7</f>
        <v>c.3.2</v>
      </c>
      <c r="D9" s="93"/>
      <c r="E9" s="93"/>
      <c r="F9" s="410"/>
      <c r="G9" s="76"/>
      <c r="H9" s="76"/>
      <c r="I9" s="332"/>
      <c r="J9" s="76"/>
      <c r="K9" s="76"/>
      <c r="L9" s="76"/>
      <c r="M9" s="356"/>
      <c r="N9" s="356"/>
      <c r="O9" s="356"/>
      <c r="P9" s="356"/>
      <c r="Q9" s="381">
        <f>SUM(Tabelle7610715[[#This Row],[Betrag Abrechnungs-zeitraum "A"
1. ZWB]:[Betrag Abrechnungs-zeitraum "D"
Endbericht]])</f>
        <v>0</v>
      </c>
      <c r="R9" s="297"/>
      <c r="S9" s="83">
        <f>IF(Eingabe!$Q$45="ja", Q9-T9+X9,Overview!$AA$15)</f>
        <v>0</v>
      </c>
      <c r="T9" s="84"/>
      <c r="U9" s="85"/>
      <c r="V9" s="86"/>
      <c r="W9" s="87"/>
      <c r="X9" s="82"/>
      <c r="Y9" s="85"/>
      <c r="Z9" s="286" t="str">
        <f>C9</f>
        <v>c.3.2</v>
      </c>
      <c r="AA9" s="48"/>
    </row>
    <row r="10" spans="2:27" ht="15" customHeight="1" x14ac:dyDescent="0.35">
      <c r="B10" s="45"/>
      <c r="C10" s="92" t="str">
        <f t="shared" si="0"/>
        <v>c.3.3</v>
      </c>
      <c r="D10" s="93"/>
      <c r="E10" s="93"/>
      <c r="F10" s="410"/>
      <c r="G10" s="99"/>
      <c r="H10" s="76"/>
      <c r="I10" s="332"/>
      <c r="J10" s="76"/>
      <c r="K10" s="76"/>
      <c r="L10" s="76"/>
      <c r="M10" s="356"/>
      <c r="N10" s="356"/>
      <c r="O10" s="356"/>
      <c r="P10" s="356"/>
      <c r="Q10" s="381">
        <f>SUM(Tabelle7610715[[#This Row],[Betrag Abrechnungs-zeitraum "A"
1. ZWB]:[Betrag Abrechnungs-zeitraum "D"
Endbericht]])</f>
        <v>0</v>
      </c>
      <c r="R10" s="297"/>
      <c r="S10" s="83">
        <f>IF(Eingabe!$Q$45="ja", Q10-T10+X10,Overview!$AA$15)</f>
        <v>0</v>
      </c>
      <c r="T10" s="84"/>
      <c r="U10" s="85"/>
      <c r="V10" s="86"/>
      <c r="W10" s="87"/>
      <c r="X10" s="82"/>
      <c r="Y10" s="85"/>
      <c r="Z10" s="286" t="str">
        <f>C10</f>
        <v>c.3.3</v>
      </c>
      <c r="AA10" s="48"/>
    </row>
    <row r="11" spans="2:27" ht="15" customHeight="1" x14ac:dyDescent="0.35">
      <c r="B11" s="45"/>
      <c r="C11" s="92" t="str">
        <f t="shared" si="0"/>
        <v>c.3.4</v>
      </c>
      <c r="D11" s="275"/>
      <c r="E11" s="275"/>
      <c r="F11" s="411"/>
      <c r="G11" s="76"/>
      <c r="H11" s="99"/>
      <c r="I11" s="333"/>
      <c r="J11" s="99"/>
      <c r="K11" s="99"/>
      <c r="L11" s="99"/>
      <c r="M11" s="357"/>
      <c r="N11" s="357"/>
      <c r="O11" s="357"/>
      <c r="P11" s="357"/>
      <c r="Q11" s="381">
        <f>SUM(Tabelle7610715[[#This Row],[Betrag Abrechnungs-zeitraum "A"
1. ZWB]:[Betrag Abrechnungs-zeitraum "D"
Endbericht]])</f>
        <v>0</v>
      </c>
      <c r="R11" s="298"/>
      <c r="S11" s="83">
        <f>IF(Eingabe!$Q$45="ja", Q11-T11+X11,Overview!$AA$15)</f>
        <v>0</v>
      </c>
      <c r="T11" s="145"/>
      <c r="U11" s="146"/>
      <c r="V11" s="147"/>
      <c r="W11" s="148"/>
      <c r="X11" s="149"/>
      <c r="Y11" s="146"/>
      <c r="Z11" s="287" t="str">
        <f t="shared" ref="Z11:Z16" si="1">C11</f>
        <v>c.3.4</v>
      </c>
      <c r="AA11" s="48"/>
    </row>
    <row r="12" spans="2:27" ht="15" customHeight="1" x14ac:dyDescent="0.35">
      <c r="B12" s="45"/>
      <c r="C12" s="92" t="str">
        <f t="shared" si="0"/>
        <v>c.3.5</v>
      </c>
      <c r="D12" s="93"/>
      <c r="E12" s="93"/>
      <c r="F12" s="410"/>
      <c r="G12" s="76"/>
      <c r="H12" s="76"/>
      <c r="I12" s="332"/>
      <c r="J12" s="76"/>
      <c r="K12" s="76"/>
      <c r="L12" s="76"/>
      <c r="M12" s="356"/>
      <c r="N12" s="356"/>
      <c r="O12" s="356"/>
      <c r="P12" s="356"/>
      <c r="Q12" s="381">
        <f>SUM(Tabelle7610715[[#This Row],[Betrag Abrechnungs-zeitraum "A"
1. ZWB]:[Betrag Abrechnungs-zeitraum "D"
Endbericht]])</f>
        <v>0</v>
      </c>
      <c r="R12" s="297"/>
      <c r="S12" s="83">
        <f>IF(Eingabe!$Q$45="ja", Q12-T12+X12,Overview!$AA$15)</f>
        <v>0</v>
      </c>
      <c r="T12" s="84"/>
      <c r="U12" s="85"/>
      <c r="V12" s="86"/>
      <c r="W12" s="87"/>
      <c r="X12" s="82"/>
      <c r="Y12" s="85"/>
      <c r="Z12" s="286" t="str">
        <f t="shared" si="1"/>
        <v>c.3.5</v>
      </c>
      <c r="AA12" s="48"/>
    </row>
    <row r="13" spans="2:27" ht="15" customHeight="1" x14ac:dyDescent="0.35">
      <c r="B13" s="45"/>
      <c r="C13" s="92" t="str">
        <f t="shared" si="0"/>
        <v>c.3.6</v>
      </c>
      <c r="D13" s="93"/>
      <c r="E13" s="93"/>
      <c r="F13" s="410"/>
      <c r="G13" s="76"/>
      <c r="H13" s="76"/>
      <c r="I13" s="332"/>
      <c r="J13" s="76"/>
      <c r="K13" s="76"/>
      <c r="L13" s="76"/>
      <c r="M13" s="356"/>
      <c r="N13" s="356"/>
      <c r="O13" s="356"/>
      <c r="P13" s="356"/>
      <c r="Q13" s="381">
        <f>SUM(Tabelle7610715[[#This Row],[Betrag Abrechnungs-zeitraum "A"
1. ZWB]:[Betrag Abrechnungs-zeitraum "D"
Endbericht]])</f>
        <v>0</v>
      </c>
      <c r="R13" s="297"/>
      <c r="S13" s="83">
        <f>IF(Eingabe!$Q$45="ja", Q13-T13+X13,Overview!$AA$15)</f>
        <v>0</v>
      </c>
      <c r="T13" s="84"/>
      <c r="U13" s="85"/>
      <c r="V13" s="86"/>
      <c r="W13" s="87"/>
      <c r="X13" s="82"/>
      <c r="Y13" s="85"/>
      <c r="Z13" s="286" t="str">
        <f t="shared" si="1"/>
        <v>c.3.6</v>
      </c>
      <c r="AA13" s="48"/>
    </row>
    <row r="14" spans="2:27" ht="15" customHeight="1" x14ac:dyDescent="0.35">
      <c r="B14" s="45"/>
      <c r="C14" s="92" t="str">
        <f t="shared" si="0"/>
        <v>c.3.7</v>
      </c>
      <c r="D14" s="93"/>
      <c r="E14" s="93"/>
      <c r="F14" s="410"/>
      <c r="G14" s="76"/>
      <c r="H14" s="76"/>
      <c r="I14" s="332"/>
      <c r="J14" s="76"/>
      <c r="K14" s="76"/>
      <c r="L14" s="76"/>
      <c r="M14" s="356"/>
      <c r="N14" s="356"/>
      <c r="O14" s="356"/>
      <c r="P14" s="356"/>
      <c r="Q14" s="381">
        <f>SUM(Tabelle7610715[[#This Row],[Betrag Abrechnungs-zeitraum "A"
1. ZWB]:[Betrag Abrechnungs-zeitraum "D"
Endbericht]])</f>
        <v>0</v>
      </c>
      <c r="R14" s="297"/>
      <c r="S14" s="83">
        <f>IF(Eingabe!$Q$45="ja", Q14-T14+X14,Overview!$AA$15)</f>
        <v>0</v>
      </c>
      <c r="T14" s="150"/>
      <c r="U14" s="88"/>
      <c r="V14" s="89"/>
      <c r="W14" s="90"/>
      <c r="X14" s="91"/>
      <c r="Y14" s="88"/>
      <c r="Z14" s="286" t="str">
        <f>C14</f>
        <v>c.3.7</v>
      </c>
      <c r="AA14" s="48"/>
    </row>
    <row r="15" spans="2:27" ht="15" customHeight="1" x14ac:dyDescent="0.35">
      <c r="B15" s="45"/>
      <c r="C15" s="92" t="str">
        <f t="shared" si="0"/>
        <v>c.3.8</v>
      </c>
      <c r="D15" s="93"/>
      <c r="E15" s="93"/>
      <c r="F15" s="410"/>
      <c r="G15" s="76"/>
      <c r="H15" s="76"/>
      <c r="I15" s="332"/>
      <c r="J15" s="76"/>
      <c r="K15" s="76"/>
      <c r="L15" s="76"/>
      <c r="M15" s="356"/>
      <c r="N15" s="356"/>
      <c r="O15" s="356"/>
      <c r="P15" s="356"/>
      <c r="Q15" s="381">
        <f>SUM(Tabelle7610715[[#This Row],[Betrag Abrechnungs-zeitraum "A"
1. ZWB]:[Betrag Abrechnungs-zeitraum "D"
Endbericht]])</f>
        <v>0</v>
      </c>
      <c r="R15" s="297"/>
      <c r="S15" s="83">
        <f>IF(Eingabe!$Q$45="ja", Q15-T15+X15,Overview!$AA$15)</f>
        <v>0</v>
      </c>
      <c r="T15" s="150"/>
      <c r="U15" s="88"/>
      <c r="V15" s="89"/>
      <c r="W15" s="90"/>
      <c r="X15" s="91"/>
      <c r="Y15" s="88"/>
      <c r="Z15" s="286" t="str">
        <f>C15</f>
        <v>c.3.8</v>
      </c>
      <c r="AA15" s="48"/>
    </row>
    <row r="16" spans="2:27" ht="15" customHeight="1" x14ac:dyDescent="0.35">
      <c r="B16" s="45"/>
      <c r="C16" s="92" t="str">
        <f t="shared" si="0"/>
        <v>c.3.9</v>
      </c>
      <c r="D16" s="93"/>
      <c r="E16" s="93"/>
      <c r="F16" s="410"/>
      <c r="G16" s="76"/>
      <c r="H16" s="76"/>
      <c r="I16" s="332"/>
      <c r="J16" s="76"/>
      <c r="K16" s="76"/>
      <c r="L16" s="76"/>
      <c r="M16" s="356"/>
      <c r="N16" s="356"/>
      <c r="O16" s="356"/>
      <c r="P16" s="356"/>
      <c r="Q16" s="381">
        <f>SUM(Tabelle7610715[[#This Row],[Betrag Abrechnungs-zeitraum "A"
1. ZWB]:[Betrag Abrechnungs-zeitraum "D"
Endbericht]])</f>
        <v>0</v>
      </c>
      <c r="R16" s="297"/>
      <c r="S16" s="83">
        <f>IF(Eingabe!$Q$45="ja", Q16-T16+X16,Overview!$AA$15)</f>
        <v>0</v>
      </c>
      <c r="T16" s="84"/>
      <c r="U16" s="85"/>
      <c r="V16" s="86"/>
      <c r="W16" s="87"/>
      <c r="X16" s="82"/>
      <c r="Y16" s="85"/>
      <c r="Z16" s="286" t="str">
        <f t="shared" si="1"/>
        <v>c.3.9</v>
      </c>
      <c r="AA16" s="48"/>
    </row>
    <row r="17" spans="2:27" ht="30" customHeight="1" thickBot="1" x14ac:dyDescent="0.4">
      <c r="B17" s="45"/>
      <c r="C17" s="263" t="str">
        <f t="shared" si="0"/>
        <v>c.3.10</v>
      </c>
      <c r="D17" s="64"/>
      <c r="E17" s="64"/>
      <c r="F17" s="412"/>
      <c r="G17" s="65" t="s">
        <v>96</v>
      </c>
      <c r="H17" s="65"/>
      <c r="I17" s="334"/>
      <c r="J17" s="65"/>
      <c r="K17" s="65"/>
      <c r="L17" s="65"/>
      <c r="M17" s="358"/>
      <c r="N17" s="358"/>
      <c r="O17" s="358"/>
      <c r="P17" s="358"/>
      <c r="Q17" s="381">
        <f>SUM(Tabelle7610715[[#This Row],[Betrag Abrechnungs-zeitraum "A"
1. ZWB]:[Betrag Abrechnungs-zeitraum "D"
Endbericht]])</f>
        <v>0</v>
      </c>
      <c r="R17" s="299"/>
      <c r="S17" s="83">
        <f>IF(Eingabe!$Q$45="ja", Q17-T17+X17,Overview!$AA$15)</f>
        <v>0</v>
      </c>
      <c r="T17" s="290"/>
      <c r="U17" s="291"/>
      <c r="V17" s="292"/>
      <c r="W17" s="293"/>
      <c r="X17" s="294"/>
      <c r="Y17" s="291"/>
      <c r="Z17" s="295" t="str">
        <f>C17</f>
        <v>c.3.10</v>
      </c>
      <c r="AA17" s="48"/>
    </row>
    <row r="18" spans="2:27" x14ac:dyDescent="0.35">
      <c r="B18" s="45"/>
      <c r="C18" s="166"/>
      <c r="D18" s="166"/>
      <c r="E18" s="166"/>
      <c r="F18" s="166"/>
      <c r="G18" s="54"/>
      <c r="H18" s="54"/>
      <c r="I18" s="54"/>
      <c r="J18" s="54"/>
      <c r="K18" s="166"/>
      <c r="L18" s="262">
        <f>SUMIF(Tabelle7610715[Beleg vorgelegt (j/n)],"j",Tabelle7610715[Betrag])</f>
        <v>0</v>
      </c>
      <c r="M18" s="47"/>
      <c r="N18" s="322"/>
      <c r="O18" s="51"/>
      <c r="P18" s="52"/>
      <c r="Q18" s="52"/>
      <c r="R18" s="277">
        <f>SUMIF(Tabelle7610715[Beleg geprüft
(j)],"j",Tabelle7610715[anerkannter Betrag nach Prüfung der Endabrechnung])</f>
        <v>0</v>
      </c>
      <c r="S18" s="52"/>
      <c r="T18" s="52"/>
      <c r="U18" s="52"/>
      <c r="V18" s="52"/>
      <c r="W18" s="52"/>
      <c r="X18" s="52"/>
      <c r="Y18" s="52"/>
      <c r="Z18" s="166"/>
      <c r="AA18" s="48"/>
    </row>
    <row r="19" spans="2:27" ht="14.15" customHeight="1" x14ac:dyDescent="0.35">
      <c r="B19" s="45"/>
      <c r="C19" s="166"/>
      <c r="D19" s="166"/>
      <c r="E19" s="166"/>
      <c r="F19" s="166"/>
      <c r="G19" s="166"/>
      <c r="H19" s="158"/>
      <c r="I19" s="158"/>
      <c r="J19" s="158"/>
      <c r="K19" s="158"/>
      <c r="L19" s="156"/>
      <c r="M19" s="155"/>
      <c r="N19" s="156"/>
      <c r="O19" s="156"/>
      <c r="P19" s="157"/>
      <c r="Q19" s="52"/>
      <c r="R19" s="52"/>
      <c r="S19" s="52"/>
      <c r="T19" s="52"/>
      <c r="U19" s="52"/>
      <c r="V19" s="52"/>
      <c r="W19" s="52"/>
      <c r="X19" s="52"/>
      <c r="Y19" s="52"/>
      <c r="Z19" s="166"/>
      <c r="AA19" s="48"/>
    </row>
    <row r="20" spans="2:27" ht="14.15" customHeight="1" x14ac:dyDescent="0.35">
      <c r="B20" s="45"/>
      <c r="C20" s="166"/>
      <c r="D20" s="166"/>
      <c r="E20" s="166"/>
      <c r="F20" s="166"/>
      <c r="G20" s="166"/>
      <c r="H20" s="322"/>
      <c r="I20" s="322"/>
      <c r="J20" s="614"/>
      <c r="K20" s="614"/>
      <c r="L20" s="615"/>
      <c r="M20" s="159" t="s">
        <v>140</v>
      </c>
      <c r="N20" s="159" t="s">
        <v>142</v>
      </c>
      <c r="O20" s="159" t="s">
        <v>141</v>
      </c>
      <c r="P20" s="159" t="s">
        <v>143</v>
      </c>
      <c r="Q20" s="159" t="s">
        <v>144</v>
      </c>
      <c r="R20" s="159" t="s">
        <v>162</v>
      </c>
      <c r="S20" s="159" t="s">
        <v>163</v>
      </c>
      <c r="T20" s="270"/>
      <c r="U20" s="270"/>
      <c r="V20" s="270"/>
      <c r="W20" s="270"/>
      <c r="X20" s="166"/>
      <c r="Y20" s="166"/>
      <c r="Z20" s="166"/>
      <c r="AA20" s="48"/>
    </row>
    <row r="21" spans="2:27" ht="14.15" customHeight="1" x14ac:dyDescent="0.35">
      <c r="B21" s="45"/>
      <c r="C21" s="166"/>
      <c r="D21" s="166"/>
      <c r="E21" s="166"/>
      <c r="F21" s="166"/>
      <c r="G21" s="166"/>
      <c r="H21" s="322"/>
      <c r="I21" s="359">
        <v>1</v>
      </c>
      <c r="J21" s="524" t="str">
        <f>Eingabe!H$18&amp;": "&amp;Eingabe!H$19</f>
        <v>Maßnahme 1: Titel</v>
      </c>
      <c r="K21" s="524"/>
      <c r="L21" s="524"/>
      <c r="M21" s="151">
        <f>ROUND(SUMIFS(Tabelle7610715[Betrag Abrechnungs-zeitraum "A"
1. ZWB],Tabelle7610715[Maß-nahme], $I21),2)</f>
        <v>0</v>
      </c>
      <c r="N21" s="151">
        <f>ROUND(SUMIFS(Tabelle7610715[Betrag Abrechnungs-zeitraum "B"
2. ZWB],Tabelle7610715[Maß-nahme], $I21),2)</f>
        <v>0</v>
      </c>
      <c r="O21" s="151">
        <f>ROUND(SUMIFS(Tabelle7610715[Betrag Abrechnungs-zeitraum "C"
3. ZWB],Tabelle7610715[Maß-nahme], $I21),2)</f>
        <v>0</v>
      </c>
      <c r="P21" s="151">
        <f>ROUND(SUMIFS(Tabelle7610715[Betrag Abrechnungs-zeitraum "D"
Endbericht],Tabelle7610715[Maß-nahme], $I21),2)</f>
        <v>0</v>
      </c>
      <c r="Q21" s="306">
        <f>ROUND(SUMIF(Tabelle7610715[Maß-nahme],"1",Tabelle7610715[Betrag]),2)</f>
        <v>0</v>
      </c>
      <c r="R21" s="305">
        <f>IF(Eingabe!Q45="ja",ROUND(SUMIF(Tabelle7610715[Maß-nahme],"1",Tabelle7610715[anerkannter Betrag nach Prüfung der Endabrechnung]),2),Overview!$AA$15)</f>
        <v>0</v>
      </c>
      <c r="S21" s="305">
        <f>IF(Eingabe!Q45="ja", SUMIF(Tabelle7610715[Maß-nahme],"1",Tabelle7610715[aberkannter Betrag nach Prüfung der Endabrechnung])-SUMIF(Tabelle7610715[Maß-nahme],"1",Tabelle7610715[Betrag der Änderung der Aberkennung 
(+ entspricht Zuerkennung)]),Overview!$AA$15)</f>
        <v>0</v>
      </c>
      <c r="T21" s="270"/>
      <c r="U21" s="270"/>
      <c r="V21" s="270"/>
      <c r="W21" s="270"/>
      <c r="X21" s="166"/>
      <c r="Y21" s="166"/>
      <c r="Z21" s="166"/>
      <c r="AA21" s="48"/>
    </row>
    <row r="22" spans="2:27" ht="14.15" customHeight="1" x14ac:dyDescent="0.35">
      <c r="B22" s="45"/>
      <c r="C22" s="166"/>
      <c r="D22" s="166"/>
      <c r="E22" s="166"/>
      <c r="F22" s="166"/>
      <c r="G22" s="166"/>
      <c r="H22" s="322"/>
      <c r="I22" s="359">
        <v>2</v>
      </c>
      <c r="J22" s="524" t="str">
        <f>Eingabe!I$18&amp;": "&amp;Eingabe!I$19</f>
        <v>Maßnahme 2: keine</v>
      </c>
      <c r="K22" s="524"/>
      <c r="L22" s="524"/>
      <c r="M22" s="151">
        <f>ROUND(SUMIFS(Tabelle7610715[Betrag Abrechnungs-zeitraum "A"
1. ZWB],Tabelle7610715[Maß-nahme], $I22),2)</f>
        <v>0</v>
      </c>
      <c r="N22" s="151">
        <f>ROUND(SUMIFS(Tabelle7610715[Betrag Abrechnungs-zeitraum "B"
2. ZWB],Tabelle7610715[Maß-nahme], $I22),2)</f>
        <v>0</v>
      </c>
      <c r="O22" s="151">
        <f>ROUND(SUMIFS(Tabelle7610715[Betrag Abrechnungs-zeitraum "C"
3. ZWB],Tabelle7610715[Maß-nahme], $I22),2)</f>
        <v>0</v>
      </c>
      <c r="P22" s="151">
        <f>ROUND(SUMIFS(Tabelle7610715[Betrag Abrechnungs-zeitraum "D"
Endbericht],Tabelle7610715[Maß-nahme], $I22),2)</f>
        <v>0</v>
      </c>
      <c r="Q22" s="306">
        <f>ROUND(SUMIF(Tabelle7610715[Maß-nahme],"2",Tabelle7610715[Betrag]),2)</f>
        <v>0</v>
      </c>
      <c r="R22" s="305">
        <f>IF(Eingabe!Q45="ja",ROUND(SUMIF(Tabelle7610715[Maß-nahme],"2",Tabelle7610715[anerkannter Betrag nach Prüfung der Endabrechnung]),2),Overview!$AA$15)</f>
        <v>0</v>
      </c>
      <c r="S22" s="305">
        <f>IF(Eingabe!Q45="ja", SUMIF(Tabelle7610715[Maß-nahme],"2",Tabelle7610715[aberkannter Betrag nach Prüfung der Endabrechnung])-SUMIF(Tabelle7610715[Maß-nahme],"2",Tabelle7610715[Betrag der Änderung der Aberkennung 
(+ entspricht Zuerkennung)]),Overview!$AA$15)</f>
        <v>0</v>
      </c>
      <c r="T22" s="270"/>
      <c r="U22" s="270"/>
      <c r="V22" s="270"/>
      <c r="W22" s="270"/>
      <c r="X22" s="166"/>
      <c r="Y22" s="166"/>
      <c r="Z22" s="166"/>
      <c r="AA22" s="48"/>
    </row>
    <row r="23" spans="2:27" ht="14.15" customHeight="1" x14ac:dyDescent="0.35">
      <c r="B23" s="45"/>
      <c r="C23" s="166"/>
      <c r="D23" s="166"/>
      <c r="E23" s="166"/>
      <c r="F23" s="166"/>
      <c r="G23" s="166"/>
      <c r="H23" s="322"/>
      <c r="I23" s="359">
        <v>3</v>
      </c>
      <c r="J23" s="524" t="str">
        <f>Eingabe!J$18&amp;": "&amp;Eingabe!J$19</f>
        <v>Maßnahme 3: keine</v>
      </c>
      <c r="K23" s="524"/>
      <c r="L23" s="524"/>
      <c r="M23" s="151">
        <f>ROUND(SUMIFS(Tabelle7610715[Betrag Abrechnungs-zeitraum "A"
1. ZWB],Tabelle7610715[Maß-nahme], $I23),2)</f>
        <v>0</v>
      </c>
      <c r="N23" s="151">
        <f>ROUND(SUMIFS(Tabelle7610715[Betrag Abrechnungs-zeitraum "B"
2. ZWB],Tabelle7610715[Maß-nahme], $I23),2)</f>
        <v>0</v>
      </c>
      <c r="O23" s="151">
        <f>ROUND(SUMIFS(Tabelle7610715[Betrag Abrechnungs-zeitraum "C"
3. ZWB],Tabelle7610715[Maß-nahme], $I23),2)</f>
        <v>0</v>
      </c>
      <c r="P23" s="151">
        <f>ROUND(SUMIFS(Tabelle7610715[Betrag Abrechnungs-zeitraum "D"
Endbericht],Tabelle7610715[Maß-nahme], $I23),2)</f>
        <v>0</v>
      </c>
      <c r="Q23" s="306">
        <f>ROUND(SUMIF(Tabelle7610715[Maß-nahme],"3",Tabelle7610715[Betrag]),2)</f>
        <v>0</v>
      </c>
      <c r="R23" s="305">
        <f>IF(Eingabe!Q45="ja",ROUND(SUMIF(Tabelle7610715[Maß-nahme],"3",Tabelle7610715[anerkannter Betrag nach Prüfung der Endabrechnung]),2),Overview!$AA$15)</f>
        <v>0</v>
      </c>
      <c r="S23" s="305">
        <f>IF(Eingabe!Q45="ja", SUMIF(Tabelle7610715[Maß-nahme],"3",Tabelle7610715[aberkannter Betrag nach Prüfung der Endabrechnung])-SUMIF(Tabelle7610715[Maß-nahme],"3",Tabelle7610715[Betrag der Änderung der Aberkennung 
(+ entspricht Zuerkennung)]),Overview!$AA$15)</f>
        <v>0</v>
      </c>
      <c r="T23" s="270"/>
      <c r="U23" s="270"/>
      <c r="V23" s="270"/>
      <c r="W23" s="270"/>
      <c r="X23" s="166"/>
      <c r="Y23" s="166"/>
      <c r="Z23" s="166"/>
      <c r="AA23" s="48"/>
    </row>
    <row r="24" spans="2:27" ht="14.15" customHeight="1" x14ac:dyDescent="0.35">
      <c r="B24" s="45"/>
      <c r="C24" s="166"/>
      <c r="D24" s="166"/>
      <c r="E24" s="166"/>
      <c r="F24" s="166"/>
      <c r="G24" s="166"/>
      <c r="H24" s="322"/>
      <c r="I24" s="359">
        <v>4</v>
      </c>
      <c r="J24" s="524" t="str">
        <f>Eingabe!K$18&amp;": "&amp;Eingabe!K$19</f>
        <v>Maßnahme 4: keine</v>
      </c>
      <c r="K24" s="524"/>
      <c r="L24" s="524"/>
      <c r="M24" s="151">
        <f>ROUND(SUMIFS(Tabelle7610715[Betrag Abrechnungs-zeitraum "A"
1. ZWB],Tabelle7610715[Maß-nahme], $I24),2)</f>
        <v>0</v>
      </c>
      <c r="N24" s="151">
        <f>ROUND(SUMIFS(Tabelle7610715[Betrag Abrechnungs-zeitraum "B"
2. ZWB],Tabelle7610715[Maß-nahme], $I24),2)</f>
        <v>0</v>
      </c>
      <c r="O24" s="151">
        <f>ROUND(SUMIFS(Tabelle7610715[Betrag Abrechnungs-zeitraum "C"
3. ZWB],Tabelle7610715[Maß-nahme], $I24),2)</f>
        <v>0</v>
      </c>
      <c r="P24" s="151">
        <f>ROUND(SUMIFS(Tabelle7610715[Betrag Abrechnungs-zeitraum "D"
Endbericht],Tabelle7610715[Maß-nahme], $I24),2)</f>
        <v>0</v>
      </c>
      <c r="Q24" s="306">
        <f>ROUND(SUMIF(Tabelle7610715[Maß-nahme],"4",Tabelle7610715[Betrag]),2)</f>
        <v>0</v>
      </c>
      <c r="R24" s="305">
        <f>IF(Eingabe!Q45="ja", ROUND(SUMIF(Tabelle7610715[Maß-nahme],"4",Tabelle7610715[anerkannter Betrag nach Prüfung der Endabrechnung]),2),Overview!$AA$15)</f>
        <v>0</v>
      </c>
      <c r="S24" s="305">
        <f>IF(Eingabe!Q45="ja", SUMIF(Tabelle7610715[Maß-nahme],"4",Tabelle7610715[aberkannter Betrag nach Prüfung der Endabrechnung])-SUMIF(Tabelle7610715[Maß-nahme],"4",Tabelle7610715[Betrag der Änderung der Aberkennung 
(+ entspricht Zuerkennung)]),Overview!$AA$15)</f>
        <v>0</v>
      </c>
      <c r="T24" s="270"/>
      <c r="U24" s="270"/>
      <c r="V24" s="270"/>
      <c r="W24" s="270"/>
      <c r="X24" s="166"/>
      <c r="Y24" s="166"/>
      <c r="Z24" s="166"/>
      <c r="AA24" s="48"/>
    </row>
    <row r="25" spans="2:27" ht="14.15" customHeight="1" x14ac:dyDescent="0.35">
      <c r="B25" s="45"/>
      <c r="C25" s="166"/>
      <c r="D25" s="166"/>
      <c r="E25" s="166"/>
      <c r="F25" s="166"/>
      <c r="G25" s="166"/>
      <c r="H25" s="322"/>
      <c r="I25" s="359">
        <v>5</v>
      </c>
      <c r="J25" s="524" t="str">
        <f>Eingabe!L$18&amp;": "&amp;Eingabe!L$19</f>
        <v>Maßnahme 5: keine</v>
      </c>
      <c r="K25" s="524"/>
      <c r="L25" s="524"/>
      <c r="M25" s="151">
        <f>ROUND(SUMIFS(Tabelle7610715[Betrag Abrechnungs-zeitraum "A"
1. ZWB],Tabelle7610715[Maß-nahme], $I25),2)</f>
        <v>0</v>
      </c>
      <c r="N25" s="151">
        <f>ROUND(SUMIFS(Tabelle7610715[Betrag Abrechnungs-zeitraum "B"
2. ZWB],Tabelle7610715[Maß-nahme], $I25),2)</f>
        <v>0</v>
      </c>
      <c r="O25" s="151">
        <f>ROUND(SUMIFS(Tabelle7610715[Betrag Abrechnungs-zeitraum "C"
3. ZWB],Tabelle7610715[Maß-nahme], $I25),2)</f>
        <v>0</v>
      </c>
      <c r="P25" s="151">
        <f>ROUND(SUMIFS(Tabelle7610715[Betrag Abrechnungs-zeitraum "D"
Endbericht],Tabelle7610715[Maß-nahme], $I25),2)</f>
        <v>0</v>
      </c>
      <c r="Q25" s="306">
        <f>ROUND(SUMIF(Tabelle7610715[Maß-nahme],"5",Tabelle7610715[Betrag]),2)</f>
        <v>0</v>
      </c>
      <c r="R25" s="305">
        <f>IF(Eingabe!Q45="ja", ROUND(SUMIF(Tabelle7610715[Maß-nahme],"5",Tabelle7610715[anerkannter Betrag nach Prüfung der Endabrechnung]),2),Overview!$AA$15)</f>
        <v>0</v>
      </c>
      <c r="S25" s="305">
        <f>IF(Eingabe!Q45="ja", SUMIF(Tabelle7610715[Maß-nahme],"5",Tabelle7610715[aberkannter Betrag nach Prüfung der Endabrechnung])-SUMIF(Tabelle7610715[Maß-nahme],"5",Tabelle7610715[Betrag der Änderung der Aberkennung 
(+ entspricht Zuerkennung)]),Overview!$AA$15)</f>
        <v>0</v>
      </c>
      <c r="T25" s="270"/>
      <c r="U25" s="270"/>
      <c r="V25" s="270"/>
      <c r="W25" s="270"/>
      <c r="X25" s="166"/>
      <c r="Y25" s="166"/>
      <c r="Z25" s="166"/>
      <c r="AA25" s="48"/>
    </row>
    <row r="26" spans="2:27" ht="14.15" customHeight="1" x14ac:dyDescent="0.35">
      <c r="B26" s="45"/>
      <c r="C26" s="166"/>
      <c r="D26" s="166"/>
      <c r="E26" s="166"/>
      <c r="F26" s="166"/>
      <c r="G26" s="166"/>
      <c r="H26" s="322"/>
      <c r="I26" s="359">
        <v>6</v>
      </c>
      <c r="J26" s="524" t="str">
        <f>Eingabe!M$18&amp;": "&amp;Eingabe!M$19</f>
        <v>Maßnahme 6: keine</v>
      </c>
      <c r="K26" s="524"/>
      <c r="L26" s="524"/>
      <c r="M26" s="151">
        <f>ROUND(SUMIFS(Tabelle7610715[Betrag Abrechnungs-zeitraum "A"
1. ZWB],Tabelle7610715[Maß-nahme], $I26),2)</f>
        <v>0</v>
      </c>
      <c r="N26" s="151">
        <f>ROUND(SUMIFS(Tabelle7610715[Betrag Abrechnungs-zeitraum "B"
2. ZWB],Tabelle7610715[Maß-nahme], $I26),2)</f>
        <v>0</v>
      </c>
      <c r="O26" s="151">
        <f>ROUND(SUMIFS(Tabelle7610715[Betrag Abrechnungs-zeitraum "C"
3. ZWB],Tabelle7610715[Maß-nahme], $I26),2)</f>
        <v>0</v>
      </c>
      <c r="P26" s="151">
        <f>ROUND(SUMIFS(Tabelle7610715[Betrag Abrechnungs-zeitraum "D"
Endbericht],Tabelle7610715[Maß-nahme], $I26),2)</f>
        <v>0</v>
      </c>
      <c r="Q26" s="306">
        <f>ROUND(SUMIF(Tabelle7610715[Maß-nahme],"6",Tabelle7610715[Betrag]),2)</f>
        <v>0</v>
      </c>
      <c r="R26" s="305">
        <f>IF(Eingabe!Q45="ja", ROUND(SUMIF(Tabelle7610715[Maß-nahme],"6",Tabelle7610715[anerkannter Betrag nach Prüfung der Endabrechnung]),2),Overview!$AA$15)</f>
        <v>0</v>
      </c>
      <c r="S26" s="305">
        <f>IF(Eingabe!Q45="ja", SUMIF(Tabelle7610715[Maß-nahme],"6",Tabelle7610715[aberkannter Betrag nach Prüfung der Endabrechnung])-SUMIF(Tabelle7610715[Maß-nahme],"6",Tabelle7610715[Betrag der Änderung der Aberkennung 
(+ entspricht Zuerkennung)]),Overview!$AA$15)</f>
        <v>0</v>
      </c>
      <c r="T26" s="270"/>
      <c r="U26" s="270"/>
      <c r="V26" s="270"/>
      <c r="W26" s="270"/>
      <c r="X26" s="166"/>
      <c r="Y26" s="166"/>
      <c r="Z26" s="166"/>
      <c r="AA26" s="48"/>
    </row>
    <row r="27" spans="2:27" ht="14.15" customHeight="1" x14ac:dyDescent="0.35">
      <c r="B27" s="45"/>
      <c r="C27" s="166"/>
      <c r="D27" s="166"/>
      <c r="E27" s="166"/>
      <c r="F27" s="166"/>
      <c r="G27" s="166"/>
      <c r="H27" s="322"/>
      <c r="I27" s="359">
        <v>7</v>
      </c>
      <c r="J27" s="524" t="str">
        <f>Eingabe!N$18&amp;": "&amp;Eingabe!N$19</f>
        <v>Maßnahme 7: keine</v>
      </c>
      <c r="K27" s="524"/>
      <c r="L27" s="524"/>
      <c r="M27" s="151">
        <f>ROUND(SUMIFS(Tabelle7610715[Betrag Abrechnungs-zeitraum "A"
1. ZWB],Tabelle7610715[Maß-nahme], $I27),2)</f>
        <v>0</v>
      </c>
      <c r="N27" s="151">
        <f>ROUND(SUMIFS(Tabelle7610715[Betrag Abrechnungs-zeitraum "B"
2. ZWB],Tabelle7610715[Maß-nahme], $I27),2)</f>
        <v>0</v>
      </c>
      <c r="O27" s="151">
        <f>ROUND(SUMIFS(Tabelle7610715[Betrag Abrechnungs-zeitraum "C"
3. ZWB],Tabelle7610715[Maß-nahme], $I27),2)</f>
        <v>0</v>
      </c>
      <c r="P27" s="151">
        <f>ROUND(SUMIFS(Tabelle7610715[Betrag Abrechnungs-zeitraum "D"
Endbericht],Tabelle7610715[Maß-nahme], $I27),2)</f>
        <v>0</v>
      </c>
      <c r="Q27" s="306">
        <f>ROUND(SUMIF(Tabelle7610715[Maß-nahme],"7",Tabelle7610715[Betrag]),2)</f>
        <v>0</v>
      </c>
      <c r="R27" s="305">
        <f>IF(Eingabe!Q45="ja", ROUND(SUMIF(Tabelle7610715[Maß-nahme],"7",Tabelle7610715[anerkannter Betrag nach Prüfung der Endabrechnung]),2),Overview!$AA$15)</f>
        <v>0</v>
      </c>
      <c r="S27" s="305">
        <f>IF(Eingabe!Q45="ja", SUMIF(Tabelle7610715[Maß-nahme],"7",Tabelle7610715[aberkannter Betrag nach Prüfung der Endabrechnung])-SUMIF(Tabelle7610715[Maß-nahme],"7",Tabelle7610715[Betrag der Änderung der Aberkennung 
(+ entspricht Zuerkennung)]),Overview!$AA$15)</f>
        <v>0</v>
      </c>
      <c r="T27" s="270"/>
      <c r="U27" s="270"/>
      <c r="V27" s="270"/>
      <c r="W27" s="270"/>
      <c r="X27" s="166"/>
      <c r="Y27" s="166"/>
      <c r="Z27" s="166"/>
      <c r="AA27" s="48"/>
    </row>
    <row r="28" spans="2:27" ht="14.15" customHeight="1" x14ac:dyDescent="0.35">
      <c r="B28" s="45"/>
      <c r="C28" s="166"/>
      <c r="D28" s="166"/>
      <c r="E28" s="166"/>
      <c r="F28" s="166"/>
      <c r="G28" s="166"/>
      <c r="H28" s="322"/>
      <c r="I28" s="359">
        <v>8</v>
      </c>
      <c r="J28" s="524" t="str">
        <f>Eingabe!O$18&amp;": "&amp;Eingabe!O$19</f>
        <v>Maßnahme 8: keine</v>
      </c>
      <c r="K28" s="524"/>
      <c r="L28" s="524"/>
      <c r="M28" s="151">
        <f>ROUND(SUMIFS(Tabelle7610715[Betrag Abrechnungs-zeitraum "A"
1. ZWB],Tabelle7610715[Maß-nahme], $I28),2)</f>
        <v>0</v>
      </c>
      <c r="N28" s="151">
        <f>ROUND(SUMIFS(Tabelle7610715[Betrag Abrechnungs-zeitraum "B"
2. ZWB],Tabelle7610715[Maß-nahme], $I28),2)</f>
        <v>0</v>
      </c>
      <c r="O28" s="151">
        <f>ROUND(SUMIFS(Tabelle7610715[Betrag Abrechnungs-zeitraum "C"
3. ZWB],Tabelle7610715[Maß-nahme], $I28),2)</f>
        <v>0</v>
      </c>
      <c r="P28" s="151">
        <f>ROUND(SUMIFS(Tabelle7610715[Betrag Abrechnungs-zeitraum "D"
Endbericht],Tabelle7610715[Maß-nahme], $I28),2)</f>
        <v>0</v>
      </c>
      <c r="Q28" s="306">
        <f>ROUND(SUMIF(Tabelle7610715[Maß-nahme],"8",Tabelle7610715[Betrag]),2)</f>
        <v>0</v>
      </c>
      <c r="R28" s="305">
        <f>IF(Eingabe!Q45="ja", ROUND(SUMIF(Tabelle7610715[Maß-nahme],"8",Tabelle7610715[anerkannter Betrag nach Prüfung der Endabrechnung]),2),Overview!$AA$15)</f>
        <v>0</v>
      </c>
      <c r="S28" s="305">
        <f>IF(Eingabe!Q45="ja", SUMIF(Tabelle7610715[Maß-nahme],"8",Tabelle7610715[aberkannter Betrag nach Prüfung der Endabrechnung])-SUMIF(Tabelle7610715[Maß-nahme],"8",Tabelle7610715[Betrag der Änderung der Aberkennung 
(+ entspricht Zuerkennung)]),Overview!$AA$15)</f>
        <v>0</v>
      </c>
      <c r="T28" s="270"/>
      <c r="U28" s="270"/>
      <c r="V28" s="270"/>
      <c r="W28" s="270"/>
      <c r="X28" s="166"/>
      <c r="Y28" s="166"/>
      <c r="Z28" s="166"/>
      <c r="AA28" s="48"/>
    </row>
    <row r="29" spans="2:27" ht="14.15" customHeight="1" x14ac:dyDescent="0.35">
      <c r="B29" s="45"/>
      <c r="C29" s="166"/>
      <c r="D29" s="166"/>
      <c r="E29" s="166"/>
      <c r="F29" s="166"/>
      <c r="G29" s="166"/>
      <c r="H29" s="322"/>
      <c r="I29" s="359">
        <v>9</v>
      </c>
      <c r="J29" s="524" t="str">
        <f>Eingabe!P$18&amp;": "&amp;Eingabe!P$19</f>
        <v>Maßnahme 9: keine</v>
      </c>
      <c r="K29" s="524"/>
      <c r="L29" s="524"/>
      <c r="M29" s="151">
        <f>ROUND(SUMIFS(Tabelle7610715[Betrag Abrechnungs-zeitraum "A"
1. ZWB],Tabelle7610715[Maß-nahme], $I29),2)</f>
        <v>0</v>
      </c>
      <c r="N29" s="151">
        <f>ROUND(SUMIFS(Tabelle7610715[Betrag Abrechnungs-zeitraum "B"
2. ZWB],Tabelle7610715[Maß-nahme], $I29),2)</f>
        <v>0</v>
      </c>
      <c r="O29" s="151">
        <f>ROUND(SUMIFS(Tabelle7610715[Betrag Abrechnungs-zeitraum "C"
3. ZWB],Tabelle7610715[Maß-nahme], $I29),2)</f>
        <v>0</v>
      </c>
      <c r="P29" s="151">
        <f>ROUND(SUMIFS(Tabelle7610715[Betrag Abrechnungs-zeitraum "D"
Endbericht],Tabelle7610715[Maß-nahme], $I29),2)</f>
        <v>0</v>
      </c>
      <c r="Q29" s="306">
        <f>ROUND(SUMIF(Tabelle7610715[Maß-nahme],"9",Tabelle7610715[Betrag]),2)</f>
        <v>0</v>
      </c>
      <c r="R29" s="305">
        <f>IF(Eingabe!Q45="ja", ROUND(SUMIF(Tabelle7610715[Maß-nahme],"9",Tabelle7610715[anerkannter Betrag nach Prüfung der Endabrechnung]),2),Overview!$AA$15)</f>
        <v>0</v>
      </c>
      <c r="S29" s="305">
        <f>IF(Eingabe!Q45="ja", SUMIF(Tabelle7610715[Maß-nahme],"9",Tabelle7610715[aberkannter Betrag nach Prüfung der Endabrechnung])-SUMIF(Tabelle7610715[Maß-nahme],"9",Tabelle7610715[Betrag der Änderung der Aberkennung 
(+ entspricht Zuerkennung)]),Overview!$AA$15)</f>
        <v>0</v>
      </c>
      <c r="T29" s="270"/>
      <c r="U29" s="270"/>
      <c r="V29" s="270"/>
      <c r="W29" s="270"/>
      <c r="X29" s="166"/>
      <c r="Y29" s="166"/>
      <c r="Z29" s="166"/>
      <c r="AA29" s="48"/>
    </row>
    <row r="30" spans="2:27" ht="14.15" customHeight="1" x14ac:dyDescent="0.35">
      <c r="B30" s="45"/>
      <c r="C30" s="166"/>
      <c r="D30" s="166"/>
      <c r="E30" s="166"/>
      <c r="F30" s="166"/>
      <c r="G30" s="166"/>
      <c r="H30" s="322"/>
      <c r="I30" s="359">
        <v>10</v>
      </c>
      <c r="J30" s="524" t="str">
        <f>Eingabe!Q$18&amp;": "&amp;Eingabe!Q$19</f>
        <v>Maßnahme 10: keine</v>
      </c>
      <c r="K30" s="524"/>
      <c r="L30" s="524"/>
      <c r="M30" s="151">
        <f>ROUND(SUMIFS(Tabelle7610715[Betrag Abrechnungs-zeitraum "A"
1. ZWB],Tabelle7610715[Maß-nahme], $I30),2)</f>
        <v>0</v>
      </c>
      <c r="N30" s="151">
        <f>ROUND(SUMIFS(Tabelle7610715[Betrag Abrechnungs-zeitraum "B"
2. ZWB],Tabelle7610715[Maß-nahme], $I30),2)</f>
        <v>0</v>
      </c>
      <c r="O30" s="151">
        <f>ROUND(SUMIFS(Tabelle7610715[Betrag Abrechnungs-zeitraum "C"
3. ZWB],Tabelle7610715[Maß-nahme], $I30),2)</f>
        <v>0</v>
      </c>
      <c r="P30" s="151">
        <f>ROUND(SUMIFS(Tabelle7610715[Betrag Abrechnungs-zeitraum "D"
Endbericht],Tabelle7610715[Maß-nahme], $I30),2)</f>
        <v>0</v>
      </c>
      <c r="Q30" s="306">
        <f>ROUND(SUMIF(Tabelle7610715[Maß-nahme],"10",Tabelle7610715[Betrag]),2)</f>
        <v>0</v>
      </c>
      <c r="R30" s="305">
        <f>IF(Eingabe!Q45="ja", ROUND(SUMIF(Tabelle7610715[Maß-nahme],"10",Tabelle7610715[anerkannter Betrag nach Prüfung der Endabrechnung]),2),Overview!$AA$15)</f>
        <v>0</v>
      </c>
      <c r="S30" s="305">
        <f>IF(Eingabe!Q45="ja", SUMIF(Tabelle7610715[Maß-nahme],"10",Tabelle7610715[aberkannter Betrag nach Prüfung der Endabrechnung])-SUMIF(Tabelle7610715[Maß-nahme],"10",Tabelle7610715[Betrag der Änderung der Aberkennung 
(+ entspricht Zuerkennung)]),Overview!$AA$15)</f>
        <v>0</v>
      </c>
      <c r="T30" s="270"/>
      <c r="U30" s="270"/>
      <c r="V30" s="270"/>
      <c r="W30" s="270"/>
      <c r="X30" s="166"/>
      <c r="Y30" s="166"/>
      <c r="Z30" s="166"/>
      <c r="AA30" s="48"/>
    </row>
    <row r="31" spans="2:27" ht="14.15" customHeight="1" x14ac:dyDescent="0.35">
      <c r="B31" s="45"/>
      <c r="C31" s="166"/>
      <c r="D31" s="166"/>
      <c r="E31" s="166"/>
      <c r="F31" s="166"/>
      <c r="G31" s="166"/>
      <c r="H31" s="322"/>
      <c r="I31" s="322"/>
      <c r="J31" s="582" t="s">
        <v>145</v>
      </c>
      <c r="K31" s="582"/>
      <c r="L31" s="582"/>
      <c r="M31" s="306">
        <f>SUM(M21:M30)</f>
        <v>0</v>
      </c>
      <c r="N31" s="306">
        <f t="shared" ref="N31:P31" si="2">SUM(N21:N30)</f>
        <v>0</v>
      </c>
      <c r="O31" s="306">
        <f t="shared" si="2"/>
        <v>0</v>
      </c>
      <c r="P31" s="306">
        <f t="shared" si="2"/>
        <v>0</v>
      </c>
      <c r="Q31" s="306">
        <f>SUM(Q21:Q30)</f>
        <v>0</v>
      </c>
      <c r="R31" s="306">
        <f>IF(Eingabe!Q45="ja", SUM(Tabelle7610715[anerkannter Betrag nach Prüfung der Endabrechnung]),Overview!$AA$15)</f>
        <v>0</v>
      </c>
      <c r="S31" s="306">
        <f>IF(Eingabe!Q45="ja", SUM(Tabelle7610715[aberkannter Betrag nach Prüfung der Endabrechnung])-SUM(Tabelle7610715[Betrag der Änderung der Aberkennung 
(+ entspricht Zuerkennung)]),Overview!$AA$15)</f>
        <v>0</v>
      </c>
      <c r="T31" s="270"/>
      <c r="U31" s="270"/>
      <c r="V31" s="270"/>
      <c r="W31" s="270"/>
      <c r="X31" s="166"/>
      <c r="Y31" s="166"/>
      <c r="Z31" s="166"/>
      <c r="AA31" s="48"/>
    </row>
    <row r="32" spans="2:27" ht="18.75" customHeight="1" x14ac:dyDescent="0.3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7"/>
    </row>
  </sheetData>
  <sheetProtection password="FFFD" sheet="1" insertRows="0"/>
  <protectedRanges>
    <protectedRange password="CDD2" sqref="X8:Y17 T8:V17 R8:R17" name="Prüfung"/>
  </protectedRanges>
  <mergeCells count="22">
    <mergeCell ref="X6:Y6"/>
    <mergeCell ref="C3:G3"/>
    <mergeCell ref="M3:P3"/>
    <mergeCell ref="Q3:R3"/>
    <mergeCell ref="K6:L6"/>
    <mergeCell ref="D6:J6"/>
    <mergeCell ref="R5:Z5"/>
    <mergeCell ref="R6:V6"/>
    <mergeCell ref="C5:Q5"/>
    <mergeCell ref="M6:Q6"/>
    <mergeCell ref="J31:L31"/>
    <mergeCell ref="J30:L30"/>
    <mergeCell ref="J29:L29"/>
    <mergeCell ref="J28:L28"/>
    <mergeCell ref="J27:L27"/>
    <mergeCell ref="J21:L21"/>
    <mergeCell ref="J20:L20"/>
    <mergeCell ref="J26:L26"/>
    <mergeCell ref="J25:L25"/>
    <mergeCell ref="J24:L24"/>
    <mergeCell ref="J23:L23"/>
    <mergeCell ref="J22:L22"/>
  </mergeCells>
  <conditionalFormatting sqref="K8:L17 R8:R17">
    <cfRule type="containsText" dxfId="91" priority="6" operator="containsText" text="j">
      <formula>NOT(ISERROR(SEARCH("j",K8)))</formula>
    </cfRule>
  </conditionalFormatting>
  <conditionalFormatting sqref="V8:V17">
    <cfRule type="containsText" dxfId="90" priority="2" operator="containsText" text="j">
      <formula>NOT(ISERROR(SEARCH("j",V8)))</formula>
    </cfRule>
  </conditionalFormatting>
  <conditionalFormatting sqref="E8:E17">
    <cfRule type="expression" dxfId="89" priority="1">
      <formula>AND(NOT(E8=1),NOT(E8=2),NOT(E8=3),NOT(E8=4),NOT(E8=5),NOT(E8=6),NOT(E8=7),NOT(E8=8),NOT(E8=9),NOT(E8=10),NOT(Q8=0))</formula>
    </cfRule>
  </conditionalFormatting>
  <pageMargins left="0.25" right="0.25" top="0.75" bottom="0.75" header="0.3" footer="0.3"/>
  <pageSetup paperSize="9" scale="29" fitToHeight="0" orientation="landscape"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5F1AC8B-CA6C-4482-A438-D180A863158A}">
            <xm:f>AND(Eingabe!$Q$45="ja",L8="j",NOT(R8="j"))</xm:f>
            <x14:dxf>
              <fill>
                <patternFill>
                  <bgColor theme="5" tint="0.59996337778862885"/>
                </patternFill>
              </fill>
            </x14:dxf>
          </x14:cfRule>
          <xm:sqref>R8:R17</xm:sqref>
        </x14:conditionalFormatting>
        <x14:conditionalFormatting xmlns:xm="http://schemas.microsoft.com/office/excel/2006/main">
          <x14:cfRule type="expression" priority="3" id="{3A1D781D-4F10-4C02-A880-C3E7FAD58F02}">
            <xm:f>AND(L8="j",I8&gt;=Overview!$AA$11,NOT(K8="j"))</xm:f>
            <x14:dxf>
              <fill>
                <patternFill>
                  <bgColor theme="5" tint="0.59996337778862885"/>
                </patternFill>
              </fill>
            </x14:dxf>
          </x14:cfRule>
          <xm:sqref>K8:K17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Eingabe</vt:lpstr>
      <vt:lpstr>Overview</vt:lpstr>
      <vt:lpstr>Projekteinnahmen</vt:lpstr>
      <vt:lpstr>a.1) Angestellte</vt:lpstr>
      <vt:lpstr>a.2) Freie DN</vt:lpstr>
      <vt:lpstr>b) Reisekosten</vt:lpstr>
      <vt:lpstr>c.1) Immobilien</vt:lpstr>
      <vt:lpstr>c.2) Sonstige</vt:lpstr>
      <vt:lpstr>c.3) Anlagegüter</vt:lpstr>
      <vt:lpstr>c.4) Unteraufträge</vt:lpstr>
      <vt:lpstr>d) Indirekte</vt:lpstr>
      <vt:lpstr>'a.1) Angestellte'!Druckbereich</vt:lpstr>
      <vt:lpstr>'a.2) Freie DN'!Druckbereich</vt:lpstr>
      <vt:lpstr>'b) Reisekosten'!Druckbereich</vt:lpstr>
      <vt:lpstr>'c.1) Immobilien'!Druckbereich</vt:lpstr>
      <vt:lpstr>'c.2) Sonstige'!Druckbereich</vt:lpstr>
      <vt:lpstr>'c.3) Anlagegüter'!Druckbereich</vt:lpstr>
      <vt:lpstr>'c.4) Unteraufträge'!Druckbereich</vt:lpstr>
      <vt:lpstr>'d) Indirekte'!Druckbereich</vt:lpstr>
      <vt:lpstr>Eingabe!Druckbereich</vt:lpstr>
      <vt:lpstr>Overview!Druckbereich</vt:lpstr>
      <vt:lpstr>Projekteinnahmen!Druckbereich</vt:lpstr>
    </vt:vector>
  </TitlesOfParts>
  <Company>Aussenministerium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nada.cosic</dc:creator>
  <cp:lastModifiedBy>KILGA, Stefan</cp:lastModifiedBy>
  <cp:lastPrinted>2021-10-15T05:53:44Z</cp:lastPrinted>
  <dcterms:created xsi:type="dcterms:W3CDTF">2017-03-23T10:43:33Z</dcterms:created>
  <dcterms:modified xsi:type="dcterms:W3CDTF">2022-07-18T09:06:06Z</dcterms:modified>
</cp:coreProperties>
</file>